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24226"/>
  <mc:AlternateContent xmlns:mc="http://schemas.openxmlformats.org/markup-compatibility/2006">
    <mc:Choice Requires="x15">
      <x15ac:absPath xmlns:x15ac="http://schemas.microsoft.com/office/spreadsheetml/2010/11/ac" url="\\RALW00\projects\82535 2023 FSU On-Call\RAISE Grant\BCA\"/>
    </mc:Choice>
  </mc:AlternateContent>
  <xr:revisionPtr revIDLastSave="0" documentId="13_ncr:1_{7B442E51-044D-4B97-9496-ACDB881E01C3}" xr6:coauthVersionLast="47" xr6:coauthVersionMax="47" xr10:uidLastSave="{00000000-0000-0000-0000-000000000000}"/>
  <bookViews>
    <workbookView xWindow="2985" yWindow="1095" windowWidth="21600" windowHeight="11385" tabRatio="652" firstSheet="1" activeTab="1" xr2:uid="{00000000-000D-0000-FFFF-FFFF00000000}"/>
  </bookViews>
  <sheets>
    <sheet name="Workbook Info" sheetId="50" r:id="rId1"/>
    <sheet name="Summary" sheetId="12" r:id="rId2"/>
    <sheet name="Summary Table" sheetId="41" r:id="rId3"/>
    <sheet name="NPV" sheetId="5" r:id="rId4"/>
    <sheet name="Maintenance" sheetId="49" r:id="rId5"/>
    <sheet name="Costs" sheetId="27" r:id="rId6"/>
    <sheet name="EC - Travel Time - Roadway" sheetId="44" state="hidden" r:id="rId7"/>
    <sheet name="Segment AADTs" sheetId="45" state="hidden" r:id="rId8"/>
    <sheet name="Delay_Calcs" sheetId="46" state="hidden" r:id="rId9"/>
    <sheet name="TT &amp; OS" sheetId="39" r:id="rId10"/>
    <sheet name="Safety" sheetId="51" r:id="rId11"/>
    <sheet name="Maintenance Costs" sheetId="38" state="hidden" r:id="rId12"/>
    <sheet name="Environmental Protection" sheetId="47" r:id="rId13"/>
  </sheets>
  <externalReferences>
    <externalReference r:id="rId14"/>
    <externalReference r:id="rId15"/>
    <externalReference r:id="rId16"/>
    <externalReference r:id="rId17"/>
  </externalReferences>
  <definedNames>
    <definedName name="Annual_Traffic_Growth_Rate">'[1]START Assumptions'!$B$39</definedName>
    <definedName name="Auto_Occ" localSheetId="4">'[1]START Assumptions'!#REF!</definedName>
    <definedName name="Auto_Occ">'[1]START Assumptions'!#REF!</definedName>
    <definedName name="Auto_Op_Cost">'[1]START Assumptions'!$B$37</definedName>
    <definedName name="Ave_Fatal_Cost" localSheetId="4">'[1]START Assumptions'!#REF!</definedName>
    <definedName name="Ave_Fatal_Cost">'[1]START Assumptions'!#REF!</definedName>
    <definedName name="Ave_PD_Cost" localSheetId="4">'[1]START Assumptions'!#REF!</definedName>
    <definedName name="Ave_PD_Cost">'[1]START Assumptions'!#REF!</definedName>
    <definedName name="Ave_Type_A_Cost" localSheetId="4">'[1]START Assumptions'!#REF!</definedName>
    <definedName name="Ave_Type_A_Cost">'[1]START Assumptions'!#REF!</definedName>
    <definedName name="Ave_Type_B_Cost" localSheetId="4">'[1]START Assumptions'!#REF!</definedName>
    <definedName name="Ave_Type_B_Cost">'[1]START Assumptions'!#REF!</definedName>
    <definedName name="Ave_Type_C_Cost" localSheetId="4">'[1]START Assumptions'!#REF!</definedName>
    <definedName name="Ave_Type_C_Cost">'[1]START Assumptions'!#REF!</definedName>
    <definedName name="Ave_Type_Fatal_Cost" localSheetId="4">'[1]START Assumptions'!#REF!</definedName>
    <definedName name="Ave_Type_Fatal_Cost">'[1]START Assumptions'!#REF!</definedName>
    <definedName name="Ave_Type_PD_Cost" localSheetId="4">'[1]START Assumptions'!#REF!</definedName>
    <definedName name="Ave_Type_PD_Cost">'[1]START Assumptions'!#REF!</definedName>
    <definedName name="Avg_Crash_Cost" localSheetId="4">'[1]START Assumptions'!#REF!</definedName>
    <definedName name="Avg_Crash_Cost">'[1]START Assumptions'!#REF!</definedName>
    <definedName name="Base_Year">'[1]START Assumptions'!$B$31</definedName>
    <definedName name="Base_Year_Traffic" localSheetId="4">'[1]START Assumptions'!#REF!</definedName>
    <definedName name="Base_Year_Traffic">'[1]START Assumptions'!#REF!</definedName>
    <definedName name="Benefit_Period">'[1]START Assumptions'!$B$33</definedName>
    <definedName name="CIP" localSheetId="8">#REF!</definedName>
    <definedName name="CIP" localSheetId="6">#REF!</definedName>
    <definedName name="CIP" localSheetId="12">#REF!</definedName>
    <definedName name="CIP" localSheetId="4">#REF!</definedName>
    <definedName name="CIP" localSheetId="2">#REF!</definedName>
    <definedName name="CIP" localSheetId="9">#REF!</definedName>
    <definedName name="CIP">#REF!</definedName>
    <definedName name="Const_Comp_Year">'[1]START Assumptions'!$B$32</definedName>
    <definedName name="Crash_Rate_AC" localSheetId="4">'[1]START Assumptions'!#REF!</definedName>
    <definedName name="Crash_Rate_AC">'[1]START Assumptions'!#REF!</definedName>
    <definedName name="Crash_Rate_BC" localSheetId="4">'[1]START Assumptions'!#REF!</definedName>
    <definedName name="Crash_Rate_BC">'[1]START Assumptions'!#REF!</definedName>
    <definedName name="dblStack">'[2]Tunnel Capacity'!$C$6</definedName>
    <definedName name="Discount_Rate">'[1]START Assumptions'!$B$35</definedName>
    <definedName name="domstackRate">'[2]Tunnel Capacity'!$C$4</definedName>
    <definedName name="Fatal_Crash_Cost" localSheetId="4">'[1]START Assumptions'!#REF!</definedName>
    <definedName name="Fatal_Crash_Cost">'[1]START Assumptions'!#REF!</definedName>
    <definedName name="Fatal_Crash_Rate_AC" localSheetId="4">'[1]START Assumptions'!#REF!</definedName>
    <definedName name="Fatal_Crash_Rate_AC">'[1]START Assumptions'!#REF!</definedName>
    <definedName name="Fatal_Crash_Rate_BC" localSheetId="4">'[1]START Assumptions'!#REF!</definedName>
    <definedName name="Fatal_Crash_Rate_BC">'[1]START Assumptions'!#REF!</definedName>
    <definedName name="HCV_Cost_Op" localSheetId="4">'[1]START Assumptions'!#REF!</definedName>
    <definedName name="HCV_Cost_Op">'[1]START Assumptions'!#REF!</definedName>
    <definedName name="HCV_Density_AC" localSheetId="4">'[1]START Assumptions'!#REF!</definedName>
    <definedName name="HCV_Density_AC">'[1]START Assumptions'!#REF!</definedName>
    <definedName name="HCV_Density_BC" localSheetId="4">'[1]START Assumptions'!#REF!</definedName>
    <definedName name="HCV_Density_BC">'[1]START Assumptions'!#REF!</definedName>
    <definedName name="HCV_Occ" localSheetId="4">'[1]START Assumptions'!#REF!</definedName>
    <definedName name="HCV_Occ">'[1]START Assumptions'!#REF!</definedName>
    <definedName name="HCV_Value_of_Time" localSheetId="4">'[1]START Assumptions'!#REF!</definedName>
    <definedName name="HCV_Value_of_Time">'[1]START Assumptions'!#REF!</definedName>
    <definedName name="Injury_Crash_Cost" localSheetId="4">'[1]START Assumptions'!#REF!</definedName>
    <definedName name="Injury_Crash_Cost">'[1]START Assumptions'!#REF!</definedName>
    <definedName name="Injury_Crash_Rate_AC" localSheetId="4">'[1]START Assumptions'!#REF!</definedName>
    <definedName name="Injury_Crash_Rate_AC">'[1]START Assumptions'!#REF!</definedName>
    <definedName name="Injury_Crash_Rate_BC" localSheetId="4">'[1]START Assumptions'!#REF!</definedName>
    <definedName name="Injury_Crash_Rate_BC">'[1]START Assumptions'!#REF!</definedName>
    <definedName name="intlstackRate">'[2]Tunnel Capacity'!$C$3</definedName>
    <definedName name="Length_AC" localSheetId="4">'[1]START Assumptions'!#REF!</definedName>
    <definedName name="Length_AC">'[1]START Assumptions'!#REF!</definedName>
    <definedName name="Length_BC" localSheetId="4">'[1]START Assumptions'!#REF!</definedName>
    <definedName name="Length_BC">'[1]START Assumptions'!#REF!</definedName>
    <definedName name="List">'[3]NEW ROAD'!$A$2:$A$19</definedName>
    <definedName name="maxLength">'[2]Tunnel Capacity'!$C$2</definedName>
    <definedName name="NEW">'[3]NEW ROAD'!$A$4:$A$5</definedName>
    <definedName name="NPV_Costs">'[1]START Costs'!$I$5</definedName>
    <definedName name="NPV_Distance" localSheetId="4">'[1]START Distance Benefit'!#REF!</definedName>
    <definedName name="NPV_Distance">'[1]START Distance Benefit'!#REF!</definedName>
    <definedName name="NPV_maint">'[1]START Costs'!$L$5</definedName>
    <definedName name="NPV_Safety" localSheetId="4">#REF!</definedName>
    <definedName name="NPV_Safety">#REF!</definedName>
    <definedName name="NPV_Time" localSheetId="4">#REF!</definedName>
    <definedName name="NPV_Time">#REF!</definedName>
    <definedName name="PD_Crash_Cost" localSheetId="4">'[1]START Assumptions'!#REF!</definedName>
    <definedName name="PD_Crash_Cost">'[1]START Assumptions'!#REF!</definedName>
    <definedName name="PD_Crash_Rate_AC" localSheetId="4">'[1]START Assumptions'!#REF!</definedName>
    <definedName name="PD_Crash_Rate_AC">'[1]START Assumptions'!#REF!</definedName>
    <definedName name="PD_Crash_Rate_BC" localSheetId="4">'[1]START Assumptions'!#REF!</definedName>
    <definedName name="PD_Crash_Rate_BC">'[1]START Assumptions'!#REF!</definedName>
    <definedName name="_xlnm.Print_Area" localSheetId="5">Costs!$A$2:$I$41</definedName>
    <definedName name="_xlnm.Print_Area" localSheetId="12">'Environmental Protection'!$A$6:$O$39</definedName>
    <definedName name="_xlnm.Print_Area" localSheetId="4">Maintenance!$A$2:$H$41</definedName>
    <definedName name="_xlnm.Print_Area" localSheetId="11">'Maintenance Costs'!$A$3:$D$6</definedName>
    <definedName name="_xlnm.Print_Area" localSheetId="3">NPV!$A$1:$C$44</definedName>
    <definedName name="_xlnm.Print_Area" localSheetId="1">Summary!$B$2:$H$3</definedName>
    <definedName name="_xlnm.Print_Area" localSheetId="2">'Summary Table'!$A$1:$G$48</definedName>
    <definedName name="_xlnm.Print_Area" localSheetId="9">'TT &amp; OS'!$A$80:$I$111,'TT &amp; OS'!$A$144:$M$149</definedName>
    <definedName name="printa" localSheetId="8">#REF!</definedName>
    <definedName name="printa" localSheetId="6">#REF!</definedName>
    <definedName name="printa" localSheetId="12">#REF!</definedName>
    <definedName name="printa" localSheetId="4">#REF!</definedName>
    <definedName name="printa" localSheetId="7">#REF!</definedName>
    <definedName name="printa" localSheetId="2">#REF!</definedName>
    <definedName name="printa" localSheetId="9">#REF!</definedName>
    <definedName name="printa">#REF!</definedName>
    <definedName name="Prop_Dam_Crash_Cost" localSheetId="4">'[1]START Assumptions'!#REF!</definedName>
    <definedName name="Prop_Dam_Crash_Cost">'[1]START Assumptions'!#REF!</definedName>
    <definedName name="singleStack">'[2]Tunnel Capacity'!$C$5</definedName>
    <definedName name="Speed_AC" localSheetId="4">'[1]START Assumptions'!#REF!</definedName>
    <definedName name="Speed_AC">'[1]START Assumptions'!#REF!</definedName>
    <definedName name="Speed_BC" localSheetId="4">'[1]START Assumptions'!#REF!</definedName>
    <definedName name="Speed_BC">'[1]START Assumptions'!#REF!</definedName>
    <definedName name="Type_A_Crash_Rate_AC" localSheetId="4">'[1]START Assumptions'!#REF!</definedName>
    <definedName name="Type_A_Crash_Rate_AC">'[1]START Assumptions'!#REF!</definedName>
    <definedName name="Type_A_Crash_Rate_BC" localSheetId="4">'[1]START Assumptions'!#REF!</definedName>
    <definedName name="Type_A_Crash_Rate_BC">'[1]START Assumptions'!#REF!</definedName>
    <definedName name="Type_B_Crash_Rate_AC" localSheetId="4">'[1]START Assumptions'!#REF!</definedName>
    <definedName name="Type_B_Crash_Rate_AC">'[1]START Assumptions'!#REF!</definedName>
    <definedName name="Type_B_Crash_Rate_BC" localSheetId="4">'[1]START Assumptions'!#REF!</definedName>
    <definedName name="Type_B_Crash_Rate_BC">'[1]START Assumptions'!#REF!</definedName>
    <definedName name="Type_C_Crash_Rate_AC" localSheetId="4">'[1]START Assumptions'!#REF!</definedName>
    <definedName name="Type_C_Crash_Rate_AC">'[1]START Assumptions'!#REF!</definedName>
    <definedName name="Type_C_Crash_Rate_BC" localSheetId="4">'[1]START Assumptions'!#REF!</definedName>
    <definedName name="Type_C_Crash_Rate_BC">'[1]START Assumptions'!#REF!</definedName>
    <definedName name="Type_Fatal_Crash_Rate_AC" localSheetId="4">'[1]START Assumptions'!#REF!</definedName>
    <definedName name="Type_Fatal_Crash_Rate_AC">'[1]START Assumptions'!#REF!</definedName>
    <definedName name="Type_Fatal_Crash_Rate_BC" localSheetId="4">'[1]START Assumptions'!#REF!</definedName>
    <definedName name="Type_Fatal_Crash_Rate_BC">'[1]START Assumptions'!#REF!</definedName>
    <definedName name="Type_PD_Crash_Rate_AC" localSheetId="4">'[1]START Assumptions'!#REF!</definedName>
    <definedName name="Type_PD_Crash_Rate_AC">'[1]START Assumptions'!#REF!</definedName>
    <definedName name="Type_PD_Crash_Rate_BC" localSheetId="4">'[1]START Assumptions'!#REF!</definedName>
    <definedName name="Type_PD_Crash_Rate_BC">'[1]START Assumptions'!#REF!</definedName>
    <definedName name="Version2" localSheetId="8">#REF!</definedName>
    <definedName name="Version2" localSheetId="6">#REF!</definedName>
    <definedName name="Version2" localSheetId="12">#REF!</definedName>
    <definedName name="Version2" localSheetId="4">#REF!</definedName>
    <definedName name="Version2" localSheetId="11">#REF!</definedName>
    <definedName name="Version2" localSheetId="7">#REF!</definedName>
    <definedName name="Version2" localSheetId="2">#REF!</definedName>
    <definedName name="Version2" localSheetId="9">#REF!</definedName>
    <definedName name="Version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47" l="1"/>
  <c r="L36" i="47"/>
  <c r="L35" i="47"/>
  <c r="L34" i="47"/>
  <c r="L33" i="47"/>
  <c r="L32" i="47"/>
  <c r="L31" i="47"/>
  <c r="L30" i="47"/>
  <c r="L29" i="47"/>
  <c r="L28" i="47"/>
  <c r="L27" i="47"/>
  <c r="L26" i="47"/>
  <c r="L25" i="47"/>
  <c r="L24" i="47"/>
  <c r="L23" i="47"/>
  <c r="L22" i="47"/>
  <c r="L21" i="47"/>
  <c r="L20" i="47"/>
  <c r="L19" i="47"/>
  <c r="L18" i="47"/>
  <c r="L17" i="47"/>
  <c r="L16" i="47"/>
  <c r="L15" i="47"/>
  <c r="L14" i="47"/>
  <c r="L13" i="47"/>
  <c r="L12" i="47"/>
  <c r="L11" i="47"/>
  <c r="L10" i="47"/>
  <c r="L9" i="47"/>
  <c r="L8" i="47"/>
  <c r="B5" i="49"/>
  <c r="B6" i="49"/>
  <c r="C6" i="49"/>
  <c r="B7" i="49"/>
  <c r="C7" i="49"/>
  <c r="B8" i="49"/>
  <c r="C8" i="49"/>
  <c r="B9" i="49"/>
  <c r="B10" i="49"/>
  <c r="C10" i="49"/>
  <c r="R46" i="41"/>
  <c r="A45" i="47"/>
  <c r="A46" i="47" s="1"/>
  <c r="A47" i="47" s="1"/>
  <c r="A48" i="47" s="1"/>
  <c r="A49" i="47" s="1"/>
  <c r="A50" i="47" s="1"/>
  <c r="A51" i="47" s="1"/>
  <c r="A52" i="47" s="1"/>
  <c r="A53" i="47" s="1"/>
  <c r="A54" i="47" s="1"/>
  <c r="A55" i="47" s="1"/>
  <c r="A56" i="47" s="1"/>
  <c r="A57" i="47" s="1"/>
  <c r="A58" i="47" s="1"/>
  <c r="A59" i="47" s="1"/>
  <c r="A60" i="47" s="1"/>
  <c r="A61" i="47" s="1"/>
  <c r="A62" i="47" s="1"/>
  <c r="A63" i="47" s="1"/>
  <c r="A64" i="47" s="1"/>
  <c r="A65" i="47" s="1"/>
  <c r="A66" i="47" s="1"/>
  <c r="A67" i="47" s="1"/>
  <c r="A68" i="47" s="1"/>
  <c r="A69" i="47" s="1"/>
  <c r="A70" i="47" s="1"/>
  <c r="A71" i="47" s="1"/>
  <c r="A72" i="47" s="1"/>
  <c r="A73" i="47" s="1"/>
  <c r="A10" i="47"/>
  <c r="A11" i="47" s="1"/>
  <c r="A12" i="47" s="1"/>
  <c r="A13" i="47" s="1"/>
  <c r="A14" i="47" s="1"/>
  <c r="A15" i="47" s="1"/>
  <c r="A16" i="47" s="1"/>
  <c r="A17" i="47" s="1"/>
  <c r="A18" i="47" s="1"/>
  <c r="A19" i="47" s="1"/>
  <c r="A20" i="47" s="1"/>
  <c r="A21" i="47" s="1"/>
  <c r="A22" i="47" s="1"/>
  <c r="A23" i="47" s="1"/>
  <c r="A24" i="47" s="1"/>
  <c r="A25" i="47" s="1"/>
  <c r="A26" i="47" s="1"/>
  <c r="A27" i="47" s="1"/>
  <c r="A28" i="47" s="1"/>
  <c r="A29" i="47" s="1"/>
  <c r="A30" i="47" s="1"/>
  <c r="A31" i="47" s="1"/>
  <c r="A32" i="47" s="1"/>
  <c r="A33" i="47" s="1"/>
  <c r="A34" i="47" s="1"/>
  <c r="A35" i="47" s="1"/>
  <c r="A36" i="47" s="1"/>
  <c r="A37" i="47" s="1"/>
  <c r="A9" i="47"/>
  <c r="Q14" i="41"/>
  <c r="Q15" i="41"/>
  <c r="Q16" i="41"/>
  <c r="Q17" i="41"/>
  <c r="Q18" i="41"/>
  <c r="Q19" i="41"/>
  <c r="Q20" i="41"/>
  <c r="Q21" i="41"/>
  <c r="Q22" i="41"/>
  <c r="Q23" i="41"/>
  <c r="Q24" i="41"/>
  <c r="Q25" i="41"/>
  <c r="Q26" i="41"/>
  <c r="Q27" i="41"/>
  <c r="Q28" i="41"/>
  <c r="Q29" i="41"/>
  <c r="Q30" i="41"/>
  <c r="Q31" i="41"/>
  <c r="Q32" i="41"/>
  <c r="Q33" i="41"/>
  <c r="Q34" i="41"/>
  <c r="Q35" i="41"/>
  <c r="Q36" i="41"/>
  <c r="Q37" i="41"/>
  <c r="Q38" i="41"/>
  <c r="Q39" i="41"/>
  <c r="Q40" i="41"/>
  <c r="Q41" i="41"/>
  <c r="Q42" i="41"/>
  <c r="Q43" i="41"/>
  <c r="Q44" i="41"/>
  <c r="Q45" i="41"/>
  <c r="Q46" i="41"/>
  <c r="Q13" i="41"/>
  <c r="Q12" i="41"/>
  <c r="P13" i="41"/>
  <c r="A13" i="41"/>
  <c r="I48" i="39"/>
  <c r="I49" i="39"/>
  <c r="I50" i="39"/>
  <c r="I51" i="39"/>
  <c r="I52" i="39"/>
  <c r="I53" i="39"/>
  <c r="I54" i="39"/>
  <c r="I55" i="39"/>
  <c r="I56" i="39"/>
  <c r="I57" i="39"/>
  <c r="I58" i="39"/>
  <c r="I59" i="39"/>
  <c r="I60" i="39"/>
  <c r="I61" i="39"/>
  <c r="I62" i="39"/>
  <c r="I63" i="39"/>
  <c r="I64" i="39"/>
  <c r="I65" i="39"/>
  <c r="I66" i="39"/>
  <c r="I67" i="39"/>
  <c r="I68" i="39"/>
  <c r="I69" i="39"/>
  <c r="I70" i="39"/>
  <c r="I71" i="39"/>
  <c r="I72" i="39"/>
  <c r="I73" i="39"/>
  <c r="I74" i="39"/>
  <c r="I75" i="39"/>
  <c r="I76" i="39"/>
  <c r="I47" i="39"/>
  <c r="C44" i="5"/>
  <c r="B41" i="51"/>
  <c r="L98" i="39"/>
  <c r="R100" i="39"/>
  <c r="R101" i="39" s="1"/>
  <c r="R102" i="39" s="1"/>
  <c r="R103" i="39" s="1"/>
  <c r="R104" i="39" s="1"/>
  <c r="R105" i="39" s="1"/>
  <c r="R106" i="39" s="1"/>
  <c r="R107" i="39" s="1"/>
  <c r="R108" i="39" s="1"/>
  <c r="R109" i="39" s="1"/>
  <c r="R110" i="39" s="1"/>
  <c r="R111" i="39" s="1"/>
  <c r="R98" i="39"/>
  <c r="P100" i="39"/>
  <c r="P101" i="39" s="1"/>
  <c r="P102" i="39" s="1"/>
  <c r="P103" i="39" s="1"/>
  <c r="P104" i="39" s="1"/>
  <c r="P105" i="39" s="1"/>
  <c r="P106" i="39" s="1"/>
  <c r="P107" i="39" s="1"/>
  <c r="P108" i="39" s="1"/>
  <c r="P109" i="39" s="1"/>
  <c r="P110" i="39" s="1"/>
  <c r="P111" i="39" s="1"/>
  <c r="P99" i="39"/>
  <c r="P98" i="39"/>
  <c r="M99" i="39"/>
  <c r="L99" i="39"/>
  <c r="L100" i="39" s="1"/>
  <c r="L101" i="39" l="1"/>
  <c r="M100" i="39"/>
  <c r="L102" i="39" l="1"/>
  <c r="M101" i="39"/>
  <c r="L103" i="39" l="1"/>
  <c r="M102" i="39"/>
  <c r="L104" i="39" l="1"/>
  <c r="M103" i="39"/>
  <c r="L105" i="39" l="1"/>
  <c r="M104" i="39"/>
  <c r="L106" i="39" l="1"/>
  <c r="M105" i="39"/>
  <c r="L107" i="39" l="1"/>
  <c r="M106" i="39"/>
  <c r="L108" i="39" l="1"/>
  <c r="M107" i="39"/>
  <c r="L109" i="39" l="1"/>
  <c r="M108" i="39"/>
  <c r="L110" i="39" l="1"/>
  <c r="M109" i="39"/>
  <c r="L111" i="39" l="1"/>
  <c r="M111" i="39" s="1"/>
  <c r="M110" i="39"/>
  <c r="B99" i="39" l="1"/>
  <c r="C99" i="39"/>
  <c r="D99" i="39"/>
  <c r="E99" i="39"/>
  <c r="B100" i="39"/>
  <c r="C100" i="39" s="1"/>
  <c r="E100" i="39" s="1"/>
  <c r="D100" i="39"/>
  <c r="B101" i="39"/>
  <c r="B102" i="39" s="1"/>
  <c r="B103" i="39" s="1"/>
  <c r="B104" i="39" s="1"/>
  <c r="B105" i="39" s="1"/>
  <c r="B106" i="39" s="1"/>
  <c r="B107" i="39" s="1"/>
  <c r="B108" i="39" s="1"/>
  <c r="B109" i="39" s="1"/>
  <c r="B110" i="39" s="1"/>
  <c r="B111" i="39" s="1"/>
  <c r="C101" i="39"/>
  <c r="D101" i="39"/>
  <c r="E101" i="39"/>
  <c r="D98" i="39"/>
  <c r="B98" i="39"/>
  <c r="M98" i="39"/>
  <c r="N98" i="39" s="1"/>
  <c r="N99" i="39" s="1"/>
  <c r="C98" i="39"/>
  <c r="M151" i="39"/>
  <c r="M152" i="39" s="1"/>
  <c r="B131" i="39" s="1"/>
  <c r="M147" i="39"/>
  <c r="M148" i="39" s="1"/>
  <c r="B128" i="39" s="1"/>
  <c r="B133" i="39"/>
  <c r="B122" i="39"/>
  <c r="B121" i="39"/>
  <c r="J151" i="39"/>
  <c r="J152" i="39"/>
  <c r="B119" i="39"/>
  <c r="B118" i="39"/>
  <c r="J147" i="39"/>
  <c r="J148" i="39"/>
  <c r="M143" i="39"/>
  <c r="N142" i="39"/>
  <c r="N143" i="39" s="1"/>
  <c r="K143" i="39"/>
  <c r="K142" i="39"/>
  <c r="J143" i="39"/>
  <c r="B130" i="39" l="1"/>
  <c r="B127" i="39"/>
  <c r="O98" i="39"/>
  <c r="E98" i="39"/>
  <c r="F98" i="39" l="1"/>
  <c r="Q98" i="39"/>
  <c r="G98" i="39" l="1"/>
  <c r="F99" i="39"/>
  <c r="F100" i="39" l="1"/>
  <c r="G99" i="39"/>
  <c r="H98" i="39"/>
  <c r="H99" i="39" s="1"/>
  <c r="H100" i="39" s="1"/>
  <c r="H101" i="39" s="1"/>
  <c r="I98" i="39"/>
  <c r="I99" i="39" l="1"/>
  <c r="F101" i="39"/>
  <c r="G100" i="39"/>
  <c r="I100" i="39" s="1"/>
  <c r="G101" i="39" l="1"/>
  <c r="I101" i="39" s="1"/>
  <c r="F102" i="39"/>
  <c r="F103" i="39" s="1"/>
  <c r="F104" i="39" s="1"/>
  <c r="F105" i="39" s="1"/>
  <c r="F106" i="39" s="1"/>
  <c r="F107" i="39" s="1"/>
  <c r="F108" i="39" s="1"/>
  <c r="F109" i="39" s="1"/>
  <c r="F110" i="39" s="1"/>
  <c r="F111" i="39" s="1"/>
  <c r="K83" i="39" l="1"/>
  <c r="K84" i="39" s="1"/>
  <c r="K85" i="39" s="1"/>
  <c r="K86" i="39" s="1"/>
  <c r="K87" i="39" s="1"/>
  <c r="K88" i="39" s="1"/>
  <c r="K89" i="39" s="1"/>
  <c r="K90" i="39" s="1"/>
  <c r="K91" i="39" s="1"/>
  <c r="K92" i="39" s="1"/>
  <c r="K93" i="39" s="1"/>
  <c r="K94" i="39" s="1"/>
  <c r="K95" i="39" s="1"/>
  <c r="K96" i="39" s="1"/>
  <c r="K97" i="39" s="1"/>
  <c r="K98" i="39" s="1"/>
  <c r="K99" i="39" s="1"/>
  <c r="K100" i="39" s="1"/>
  <c r="K101" i="39" s="1"/>
  <c r="K102" i="39" s="1"/>
  <c r="K103" i="39" s="1"/>
  <c r="K104" i="39" s="1"/>
  <c r="K105" i="39" s="1"/>
  <c r="K106" i="39" s="1"/>
  <c r="K107" i="39" s="1"/>
  <c r="K108" i="39" s="1"/>
  <c r="K109" i="39" s="1"/>
  <c r="K110" i="39" s="1"/>
  <c r="K111" i="39" s="1"/>
  <c r="B124" i="39"/>
  <c r="R132" i="39" l="1"/>
  <c r="R131" i="39"/>
  <c r="R130" i="39"/>
  <c r="R128" i="39"/>
  <c r="R127" i="39"/>
  <c r="R123" i="39"/>
  <c r="R122" i="39"/>
  <c r="R121" i="39"/>
  <c r="R119" i="39"/>
  <c r="R118" i="39"/>
  <c r="E33" i="39" l="1"/>
  <c r="S130" i="39"/>
  <c r="S104" i="39"/>
  <c r="D33" i="39" s="1"/>
  <c r="O104" i="39"/>
  <c r="B33" i="39" s="1"/>
  <c r="S127" i="39"/>
  <c r="S121" i="39"/>
  <c r="T131" i="39"/>
  <c r="R120" i="39"/>
  <c r="T119" i="39"/>
  <c r="S118" i="39"/>
  <c r="B42" i="51"/>
  <c r="R129" i="39"/>
  <c r="J4" i="5"/>
  <c r="J5" i="5" s="1"/>
  <c r="J6" i="5" s="1"/>
  <c r="J7" i="5" s="1"/>
  <c r="J8" i="5" s="1"/>
  <c r="J9" i="5" s="1"/>
  <c r="J10" i="5" s="1"/>
  <c r="J11" i="5" s="1"/>
  <c r="J12" i="5" s="1"/>
  <c r="J13" i="5" s="1"/>
  <c r="J14" i="5" s="1"/>
  <c r="J15" i="5" s="1"/>
  <c r="J16" i="5" s="1"/>
  <c r="J17" i="5" s="1"/>
  <c r="J18" i="5" s="1"/>
  <c r="J19" i="5" s="1"/>
  <c r="J20" i="5" s="1"/>
  <c r="J21" i="5" s="1"/>
  <c r="J22" i="5" s="1"/>
  <c r="J23" i="5" s="1"/>
  <c r="J24" i="5" s="1"/>
  <c r="J25" i="5" s="1"/>
  <c r="J26" i="5" s="1"/>
  <c r="J27" i="5" s="1"/>
  <c r="J28" i="5" s="1"/>
  <c r="J29" i="5" s="1"/>
  <c r="J30" i="5" s="1"/>
  <c r="J31" i="5" s="1"/>
  <c r="J32" i="5" s="1"/>
  <c r="J33" i="5" s="1"/>
  <c r="J34" i="5" s="1"/>
  <c r="J35" i="5" s="1"/>
  <c r="J36" i="5" s="1"/>
  <c r="J37" i="5" s="1"/>
  <c r="J38" i="5" s="1"/>
  <c r="J39" i="5" s="1"/>
  <c r="J40" i="5" s="1"/>
  <c r="J41" i="5" s="1"/>
  <c r="J42" i="5" s="1"/>
  <c r="J43" i="5" s="1"/>
  <c r="I4" i="5"/>
  <c r="I5" i="5" s="1"/>
  <c r="K3" i="5"/>
  <c r="E5" i="5"/>
  <c r="E6" i="5" s="1"/>
  <c r="E7" i="5" s="1"/>
  <c r="E8" i="5" s="1"/>
  <c r="E9" i="5" s="1"/>
  <c r="E10" i="5" s="1"/>
  <c r="E11" i="5" s="1"/>
  <c r="E12" i="5" s="1"/>
  <c r="E13" i="5" s="1"/>
  <c r="E14" i="5" s="1"/>
  <c r="E15" i="5" s="1"/>
  <c r="E16" i="5" s="1"/>
  <c r="E17" i="5" s="1"/>
  <c r="E18" i="5" s="1"/>
  <c r="E19" i="5" s="1"/>
  <c r="E20" i="5" s="1"/>
  <c r="E21" i="5" s="1"/>
  <c r="E22" i="5" s="1"/>
  <c r="E23" i="5" s="1"/>
  <c r="C3" i="5"/>
  <c r="B4" i="5"/>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A4" i="5"/>
  <c r="A5" i="5" s="1"/>
  <c r="B53" i="51"/>
  <c r="B52" i="51"/>
  <c r="B51" i="51"/>
  <c r="A9" i="5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H11" i="27"/>
  <c r="R15" i="41" s="1"/>
  <c r="H12" i="27"/>
  <c r="R16" i="41" s="1"/>
  <c r="H13" i="27"/>
  <c r="R17" i="41" s="1"/>
  <c r="H14" i="27"/>
  <c r="R18" i="41" s="1"/>
  <c r="H10" i="27"/>
  <c r="R14" i="41" s="1"/>
  <c r="K4" i="5" l="1"/>
  <c r="T118" i="39"/>
  <c r="T121" i="39"/>
  <c r="E32" i="39"/>
  <c r="Q104" i="39"/>
  <c r="E34" i="39"/>
  <c r="I6" i="5"/>
  <c r="K5" i="5"/>
  <c r="A6" i="5"/>
  <c r="C5" i="5"/>
  <c r="C4" i="5"/>
  <c r="E35" i="39" l="1"/>
  <c r="Q103" i="39"/>
  <c r="S103" i="39" s="1"/>
  <c r="D32" i="39" s="1"/>
  <c r="Q105" i="39"/>
  <c r="S105" i="39" s="1"/>
  <c r="D34" i="39" s="1"/>
  <c r="E31" i="39"/>
  <c r="I7" i="5"/>
  <c r="K6" i="5"/>
  <c r="C6" i="5"/>
  <c r="A7" i="5"/>
  <c r="E36" i="39" l="1"/>
  <c r="Q102" i="39"/>
  <c r="S102" i="39" s="1"/>
  <c r="D31" i="39" s="1"/>
  <c r="E30" i="39"/>
  <c r="Q106" i="39"/>
  <c r="S106" i="39" s="1"/>
  <c r="D35" i="39" s="1"/>
  <c r="I8" i="5"/>
  <c r="K7" i="5"/>
  <c r="C7" i="5"/>
  <c r="A8" i="5"/>
  <c r="Q107" i="39" l="1"/>
  <c r="S107" i="39" s="1"/>
  <c r="D36" i="39" s="1"/>
  <c r="N101" i="39"/>
  <c r="N102" i="39" s="1"/>
  <c r="N103" i="39" s="1"/>
  <c r="E29" i="39"/>
  <c r="Q101" i="39"/>
  <c r="S101" i="39" s="1"/>
  <c r="D30" i="39" s="1"/>
  <c r="E37" i="39"/>
  <c r="I9" i="5"/>
  <c r="K8" i="5"/>
  <c r="A9" i="5"/>
  <c r="C8" i="5"/>
  <c r="N104" i="39" l="1"/>
  <c r="C32" i="39"/>
  <c r="O103" i="39"/>
  <c r="B32" i="39" s="1"/>
  <c r="E38" i="39"/>
  <c r="Q108" i="39"/>
  <c r="S108" i="39" s="1"/>
  <c r="D37" i="39" s="1"/>
  <c r="Q100" i="39"/>
  <c r="S100" i="39" s="1"/>
  <c r="D29" i="39" s="1"/>
  <c r="I10" i="5"/>
  <c r="K9" i="5"/>
  <c r="A10" i="5"/>
  <c r="C9" i="5"/>
  <c r="C4" i="27"/>
  <c r="N105" i="39" l="1"/>
  <c r="C33" i="39"/>
  <c r="Q109" i="39"/>
  <c r="S109" i="39" s="1"/>
  <c r="D38" i="39" s="1"/>
  <c r="Q99" i="39"/>
  <c r="E40" i="39"/>
  <c r="E39" i="39"/>
  <c r="I11" i="5"/>
  <c r="K10" i="5"/>
  <c r="A11" i="5"/>
  <c r="C10" i="5"/>
  <c r="G84" i="47"/>
  <c r="G87" i="47" s="1"/>
  <c r="N106" i="39" l="1"/>
  <c r="C34" i="39"/>
  <c r="O105" i="39"/>
  <c r="B34" i="39" s="1"/>
  <c r="P97" i="39"/>
  <c r="Q111" i="39"/>
  <c r="S111" i="39" s="1"/>
  <c r="D40" i="39" s="1"/>
  <c r="Q110" i="39"/>
  <c r="S110" i="39" s="1"/>
  <c r="D39" i="39" s="1"/>
  <c r="L97" i="39"/>
  <c r="K11" i="5"/>
  <c r="I12" i="5"/>
  <c r="A12" i="5"/>
  <c r="C11" i="5"/>
  <c r="G86" i="47"/>
  <c r="N107" i="39" l="1"/>
  <c r="C35" i="39"/>
  <c r="O106" i="39"/>
  <c r="B35" i="39" s="1"/>
  <c r="M97" i="39"/>
  <c r="L96" i="39"/>
  <c r="Q97" i="39"/>
  <c r="P96" i="39"/>
  <c r="I13" i="5"/>
  <c r="K12" i="5"/>
  <c r="A13" i="5"/>
  <c r="C12" i="5"/>
  <c r="N108" i="39" l="1"/>
  <c r="C36" i="39"/>
  <c r="O107" i="39"/>
  <c r="B36" i="39" s="1"/>
  <c r="L95" i="39"/>
  <c r="M96" i="39"/>
  <c r="P95" i="39"/>
  <c r="Q96" i="39"/>
  <c r="I14" i="5"/>
  <c r="K13" i="5"/>
  <c r="A14" i="5"/>
  <c r="C13" i="5"/>
  <c r="N109" i="39" l="1"/>
  <c r="C37" i="39"/>
  <c r="O108" i="39"/>
  <c r="B37" i="39" s="1"/>
  <c r="Q95" i="39"/>
  <c r="P94" i="39"/>
  <c r="M95" i="39"/>
  <c r="L94" i="39"/>
  <c r="I15" i="5"/>
  <c r="K14" i="5"/>
  <c r="K8" i="47" s="1"/>
  <c r="A15" i="5"/>
  <c r="C14" i="5"/>
  <c r="I11" i="39" s="1"/>
  <c r="N110" i="39" l="1"/>
  <c r="C38" i="39"/>
  <c r="O109" i="39"/>
  <c r="B38" i="39" s="1"/>
  <c r="L93" i="39"/>
  <c r="M94" i="39"/>
  <c r="P93" i="39"/>
  <c r="Q94" i="39"/>
  <c r="I16" i="5"/>
  <c r="K15" i="5"/>
  <c r="K9" i="47" s="1"/>
  <c r="A16" i="5"/>
  <c r="C15" i="5"/>
  <c r="I12" i="39" s="1"/>
  <c r="N111" i="39" l="1"/>
  <c r="C39" i="39"/>
  <c r="O110" i="39"/>
  <c r="B39" i="39" s="1"/>
  <c r="P92" i="39"/>
  <c r="Q93" i="39"/>
  <c r="L92" i="39"/>
  <c r="M93" i="39"/>
  <c r="I17" i="5"/>
  <c r="K16" i="5"/>
  <c r="K10" i="47" s="1"/>
  <c r="A17" i="5"/>
  <c r="C16" i="5"/>
  <c r="I13" i="39" s="1"/>
  <c r="C40" i="39" l="1"/>
  <c r="O111" i="39"/>
  <c r="B40" i="39" s="1"/>
  <c r="M92" i="39"/>
  <c r="L91" i="39"/>
  <c r="P91" i="39"/>
  <c r="Q92" i="39"/>
  <c r="K17" i="5"/>
  <c r="K11" i="47" s="1"/>
  <c r="I18" i="5"/>
  <c r="A18" i="5"/>
  <c r="C17" i="5"/>
  <c r="I14" i="39" s="1"/>
  <c r="Q91" i="39" l="1"/>
  <c r="P90" i="39"/>
  <c r="M91" i="39"/>
  <c r="L90" i="39"/>
  <c r="I19" i="5"/>
  <c r="K18" i="5"/>
  <c r="K12" i="47" s="1"/>
  <c r="A19" i="5"/>
  <c r="C18" i="5"/>
  <c r="I15" i="39" s="1"/>
  <c r="L89" i="39" l="1"/>
  <c r="M90" i="39"/>
  <c r="Q90" i="39"/>
  <c r="P89" i="39"/>
  <c r="I20" i="5"/>
  <c r="K19" i="5"/>
  <c r="K13" i="47" s="1"/>
  <c r="C19" i="5"/>
  <c r="I16" i="39" s="1"/>
  <c r="A20" i="5"/>
  <c r="P88" i="39" l="1"/>
  <c r="Q89" i="39"/>
  <c r="L88" i="39"/>
  <c r="M89" i="39"/>
  <c r="K20" i="5"/>
  <c r="K14" i="47" s="1"/>
  <c r="I21" i="5"/>
  <c r="A21" i="5"/>
  <c r="C20" i="5"/>
  <c r="I17" i="39" s="1"/>
  <c r="L87" i="39" l="1"/>
  <c r="M88" i="39"/>
  <c r="Q88" i="39"/>
  <c r="P87" i="39"/>
  <c r="I22" i="5"/>
  <c r="K21" i="5"/>
  <c r="K15" i="47" s="1"/>
  <c r="A22" i="5"/>
  <c r="C21" i="5"/>
  <c r="I18" i="39" s="1"/>
  <c r="P86" i="39" l="1"/>
  <c r="Q87" i="39"/>
  <c r="M87" i="39"/>
  <c r="L86" i="39"/>
  <c r="K22" i="5"/>
  <c r="K16" i="47" s="1"/>
  <c r="I23" i="5"/>
  <c r="C22" i="5"/>
  <c r="I19" i="39" s="1"/>
  <c r="A23" i="5"/>
  <c r="L85" i="39" l="1"/>
  <c r="M86" i="39"/>
  <c r="Q86" i="39"/>
  <c r="P85" i="39"/>
  <c r="K23" i="5"/>
  <c r="K17" i="47" s="1"/>
  <c r="I24" i="5"/>
  <c r="C23" i="5"/>
  <c r="I20" i="39" s="1"/>
  <c r="A24" i="5"/>
  <c r="Q85" i="39" l="1"/>
  <c r="P84" i="39"/>
  <c r="L84" i="39"/>
  <c r="M85" i="39"/>
  <c r="I25" i="5"/>
  <c r="K24" i="5"/>
  <c r="K18" i="47" s="1"/>
  <c r="A25" i="5"/>
  <c r="C24" i="5"/>
  <c r="I21" i="39" s="1"/>
  <c r="Q84" i="39" l="1"/>
  <c r="P83" i="39"/>
  <c r="L83" i="39"/>
  <c r="M84" i="39"/>
  <c r="I26" i="5"/>
  <c r="K25" i="5"/>
  <c r="K19" i="47" s="1"/>
  <c r="A26" i="5"/>
  <c r="C25" i="5"/>
  <c r="I22" i="39" s="1"/>
  <c r="Q83" i="39" l="1"/>
  <c r="P82" i="39"/>
  <c r="Q82" i="39" s="1"/>
  <c r="L82" i="39"/>
  <c r="M82" i="39" s="1"/>
  <c r="M83" i="39"/>
  <c r="I27" i="5"/>
  <c r="K26" i="5"/>
  <c r="K20" i="47" s="1"/>
  <c r="A27" i="5"/>
  <c r="C26" i="5"/>
  <c r="I23" i="39" s="1"/>
  <c r="K27" i="5" l="1"/>
  <c r="K21" i="47" s="1"/>
  <c r="I28" i="5"/>
  <c r="A28" i="5"/>
  <c r="C27" i="5"/>
  <c r="I24" i="39" s="1"/>
  <c r="I29" i="5" l="1"/>
  <c r="K28" i="5"/>
  <c r="K22" i="47" s="1"/>
  <c r="A29" i="5"/>
  <c r="C28" i="5"/>
  <c r="I25" i="39" s="1"/>
  <c r="I30" i="5" l="1"/>
  <c r="K29" i="5"/>
  <c r="K23" i="47" s="1"/>
  <c r="A30" i="5"/>
  <c r="C29" i="5"/>
  <c r="I26" i="39" s="1"/>
  <c r="I31" i="5" l="1"/>
  <c r="K30" i="5"/>
  <c r="K24" i="47" s="1"/>
  <c r="A31" i="5"/>
  <c r="C30" i="5"/>
  <c r="I27" i="39" s="1"/>
  <c r="I32" i="5" l="1"/>
  <c r="K31" i="5"/>
  <c r="K25" i="47" s="1"/>
  <c r="A32" i="5"/>
  <c r="C31" i="5"/>
  <c r="I28" i="39" s="1"/>
  <c r="I33" i="5" l="1"/>
  <c r="K32" i="5"/>
  <c r="K26" i="47" s="1"/>
  <c r="A33" i="5"/>
  <c r="C32" i="5"/>
  <c r="I29" i="39" s="1"/>
  <c r="K33" i="5" l="1"/>
  <c r="K27" i="47" s="1"/>
  <c r="I34" i="5"/>
  <c r="A34" i="5"/>
  <c r="C33" i="5"/>
  <c r="I30" i="39" s="1"/>
  <c r="I35" i="5" l="1"/>
  <c r="K34" i="5"/>
  <c r="K28" i="47" s="1"/>
  <c r="A35" i="5"/>
  <c r="C34" i="5"/>
  <c r="I31" i="39" s="1"/>
  <c r="I36" i="5" l="1"/>
  <c r="K35" i="5"/>
  <c r="K29" i="47" s="1"/>
  <c r="A36" i="5"/>
  <c r="C35" i="5"/>
  <c r="I32" i="39" s="1"/>
  <c r="K36" i="5" l="1"/>
  <c r="K30" i="47" s="1"/>
  <c r="I37" i="5"/>
  <c r="A37" i="5"/>
  <c r="C36" i="5"/>
  <c r="I33" i="39" s="1"/>
  <c r="I38" i="5" l="1"/>
  <c r="K37" i="5"/>
  <c r="K31" i="47" s="1"/>
  <c r="A38" i="5"/>
  <c r="C37" i="5"/>
  <c r="I34" i="39" s="1"/>
  <c r="K38" i="5" l="1"/>
  <c r="K32" i="47" s="1"/>
  <c r="I39" i="5"/>
  <c r="C38" i="5"/>
  <c r="I35" i="39" s="1"/>
  <c r="A39" i="5"/>
  <c r="I40" i="5" l="1"/>
  <c r="K39" i="5"/>
  <c r="K33" i="47" s="1"/>
  <c r="A40" i="5"/>
  <c r="C39" i="5"/>
  <c r="I36" i="39" s="1"/>
  <c r="I41" i="5" l="1"/>
  <c r="K40" i="5"/>
  <c r="K34" i="47" s="1"/>
  <c r="A41" i="5"/>
  <c r="C40" i="5"/>
  <c r="I37" i="39" s="1"/>
  <c r="I42" i="5" l="1"/>
  <c r="K41" i="5"/>
  <c r="K35" i="47" s="1"/>
  <c r="A42" i="5"/>
  <c r="C41" i="5"/>
  <c r="I38" i="39" s="1"/>
  <c r="I43" i="5" l="1"/>
  <c r="K43" i="5" s="1"/>
  <c r="K37" i="47" s="1"/>
  <c r="K42" i="5"/>
  <c r="K36" i="47" s="1"/>
  <c r="A43" i="5"/>
  <c r="C43" i="5" s="1"/>
  <c r="I40" i="39" s="1"/>
  <c r="C42" i="5"/>
  <c r="I39" i="39" s="1"/>
  <c r="B3" i="12" l="1"/>
  <c r="L42" i="47" l="1"/>
  <c r="G46" i="47" l="1"/>
  <c r="F45" i="47"/>
  <c r="I48" i="47"/>
  <c r="H12" i="47" s="1"/>
  <c r="H47" i="47"/>
  <c r="I11" i="47" s="1"/>
  <c r="I47" i="47"/>
  <c r="H11" i="47" s="1"/>
  <c r="G45" i="47"/>
  <c r="I73" i="47"/>
  <c r="H37" i="47" s="1"/>
  <c r="F71" i="47"/>
  <c r="H46" i="47"/>
  <c r="I10" i="47" s="1"/>
  <c r="I72" i="47"/>
  <c r="H36" i="47" s="1"/>
  <c r="I71" i="47"/>
  <c r="H35" i="47" s="1"/>
  <c r="I70" i="47"/>
  <c r="H34" i="47" s="1"/>
  <c r="I69" i="47"/>
  <c r="H33" i="47" s="1"/>
  <c r="I68" i="47"/>
  <c r="H32" i="47" s="1"/>
  <c r="I67" i="47"/>
  <c r="H31" i="47" s="1"/>
  <c r="I66" i="47"/>
  <c r="H30" i="47" s="1"/>
  <c r="I65" i="47"/>
  <c r="H29" i="47" s="1"/>
  <c r="I64" i="47"/>
  <c r="H28" i="47" s="1"/>
  <c r="I63" i="47"/>
  <c r="H27" i="47" s="1"/>
  <c r="I62" i="47"/>
  <c r="H26" i="47" s="1"/>
  <c r="I61" i="47"/>
  <c r="H25" i="47" s="1"/>
  <c r="I60" i="47"/>
  <c r="H24" i="47" s="1"/>
  <c r="I59" i="47"/>
  <c r="H23" i="47" s="1"/>
  <c r="I58" i="47"/>
  <c r="H22" i="47" s="1"/>
  <c r="I57" i="47"/>
  <c r="H21" i="47" s="1"/>
  <c r="I56" i="47"/>
  <c r="H20" i="47" s="1"/>
  <c r="I55" i="47"/>
  <c r="H19" i="47" s="1"/>
  <c r="I54" i="47"/>
  <c r="H18" i="47" s="1"/>
  <c r="I53" i="47"/>
  <c r="H17" i="47" s="1"/>
  <c r="I52" i="47"/>
  <c r="H16" i="47" s="1"/>
  <c r="I51" i="47"/>
  <c r="H15" i="47" s="1"/>
  <c r="I50" i="47"/>
  <c r="H14" i="47" s="1"/>
  <c r="I49" i="47"/>
  <c r="H13" i="47" s="1"/>
  <c r="I46" i="47"/>
  <c r="H10" i="47" s="1"/>
  <c r="I45" i="47"/>
  <c r="H9" i="47" s="1"/>
  <c r="I44" i="47"/>
  <c r="H8" i="47" s="1"/>
  <c r="F73" i="47"/>
  <c r="H72" i="47"/>
  <c r="I36" i="47" s="1"/>
  <c r="H71" i="47"/>
  <c r="I35" i="47" s="1"/>
  <c r="H70" i="47"/>
  <c r="I34" i="47" s="1"/>
  <c r="H69" i="47"/>
  <c r="I33" i="47" s="1"/>
  <c r="H68" i="47"/>
  <c r="I32" i="47" s="1"/>
  <c r="H67" i="47"/>
  <c r="I31" i="47" s="1"/>
  <c r="H66" i="47"/>
  <c r="I30" i="47" s="1"/>
  <c r="H65" i="47"/>
  <c r="I29" i="47" s="1"/>
  <c r="H64" i="47"/>
  <c r="I28" i="47" s="1"/>
  <c r="H63" i="47"/>
  <c r="I27" i="47" s="1"/>
  <c r="H62" i="47"/>
  <c r="I26" i="47" s="1"/>
  <c r="H61" i="47"/>
  <c r="I25" i="47" s="1"/>
  <c r="H60" i="47"/>
  <c r="I24" i="47" s="1"/>
  <c r="H59" i="47"/>
  <c r="I23" i="47" s="1"/>
  <c r="H58" i="47"/>
  <c r="I22" i="47" s="1"/>
  <c r="H57" i="47"/>
  <c r="I21" i="47" s="1"/>
  <c r="H56" i="47"/>
  <c r="I20" i="47" s="1"/>
  <c r="H55" i="47"/>
  <c r="I19" i="47" s="1"/>
  <c r="H54" i="47"/>
  <c r="I18" i="47" s="1"/>
  <c r="H53" i="47"/>
  <c r="I17" i="47" s="1"/>
  <c r="H52" i="47"/>
  <c r="I16" i="47" s="1"/>
  <c r="H51" i="47"/>
  <c r="I15" i="47" s="1"/>
  <c r="H50" i="47"/>
  <c r="I14" i="47" s="1"/>
  <c r="H49" i="47"/>
  <c r="I13" i="47" s="1"/>
  <c r="H48" i="47"/>
  <c r="I12" i="47" s="1"/>
  <c r="H45" i="47"/>
  <c r="I9" i="47" s="1"/>
  <c r="H44" i="47"/>
  <c r="I8" i="47" s="1"/>
  <c r="G73" i="47"/>
  <c r="G72" i="47"/>
  <c r="G71" i="47"/>
  <c r="G70" i="47"/>
  <c r="G69" i="47"/>
  <c r="G68" i="47"/>
  <c r="G67" i="47"/>
  <c r="G66" i="47"/>
  <c r="G65" i="47"/>
  <c r="G64" i="47"/>
  <c r="G63" i="47"/>
  <c r="G62" i="47"/>
  <c r="G61" i="47"/>
  <c r="G60" i="47"/>
  <c r="G59" i="47"/>
  <c r="G58" i="47"/>
  <c r="G57" i="47"/>
  <c r="G56" i="47"/>
  <c r="G55" i="47"/>
  <c r="G54" i="47"/>
  <c r="G53" i="47"/>
  <c r="G52" i="47"/>
  <c r="G51" i="47"/>
  <c r="G50" i="47"/>
  <c r="G49" i="47"/>
  <c r="G48" i="47"/>
  <c r="G47" i="47"/>
  <c r="G44" i="47"/>
  <c r="H73" i="47"/>
  <c r="I37" i="47" s="1"/>
  <c r="F72" i="47"/>
  <c r="F70" i="47"/>
  <c r="F69" i="47"/>
  <c r="F68" i="47"/>
  <c r="F67" i="47"/>
  <c r="F66" i="47"/>
  <c r="F65" i="47"/>
  <c r="F64" i="47"/>
  <c r="F63" i="47"/>
  <c r="F62" i="47"/>
  <c r="F61" i="47"/>
  <c r="F60" i="47"/>
  <c r="F59" i="47"/>
  <c r="F58" i="47"/>
  <c r="F57" i="47"/>
  <c r="F56" i="47"/>
  <c r="F55" i="47"/>
  <c r="F54" i="47"/>
  <c r="F53" i="47"/>
  <c r="F52" i="47"/>
  <c r="F51" i="47"/>
  <c r="F50" i="47"/>
  <c r="F49" i="47"/>
  <c r="F48" i="47"/>
  <c r="F47" i="47"/>
  <c r="F46" i="47"/>
  <c r="F44" i="47"/>
  <c r="G9" i="27" l="1"/>
  <c r="G40" i="27"/>
  <c r="G10" i="27" l="1"/>
  <c r="C22" i="49" l="1"/>
  <c r="C31" i="49" l="1"/>
  <c r="C29" i="49"/>
  <c r="C28" i="49"/>
  <c r="C27" i="49"/>
  <c r="C24" i="49"/>
  <c r="C21" i="49"/>
  <c r="C20" i="49"/>
  <c r="C38" i="49"/>
  <c r="C36" i="49"/>
  <c r="C35" i="49"/>
  <c r="C34" i="49"/>
  <c r="C13" i="49"/>
  <c r="C17" i="49"/>
  <c r="C14" i="49"/>
  <c r="C15" i="49"/>
  <c r="F17" i="49"/>
  <c r="H21" i="27" s="1"/>
  <c r="R25" i="41" s="1"/>
  <c r="H6" i="27"/>
  <c r="R12" i="41" s="1"/>
  <c r="H7" i="27"/>
  <c r="H9" i="27"/>
  <c r="R13" i="41" s="1"/>
  <c r="B11" i="49"/>
  <c r="F11" i="49" s="1"/>
  <c r="H15" i="27" s="1"/>
  <c r="R19" i="41" s="1"/>
  <c r="B12" i="49"/>
  <c r="F12" i="49" s="1"/>
  <c r="H16" i="27" s="1"/>
  <c r="R20" i="41" s="1"/>
  <c r="B13" i="49"/>
  <c r="B14" i="49"/>
  <c r="B15" i="49"/>
  <c r="B16" i="49"/>
  <c r="F16" i="49" s="1"/>
  <c r="H20" i="27" s="1"/>
  <c r="R24" i="41" s="1"/>
  <c r="B17" i="49"/>
  <c r="B18" i="49"/>
  <c r="F18" i="49" s="1"/>
  <c r="H22" i="27" s="1"/>
  <c r="R26" i="41" s="1"/>
  <c r="B19" i="49"/>
  <c r="F19" i="49" s="1"/>
  <c r="H23" i="27" s="1"/>
  <c r="R27" i="41" s="1"/>
  <c r="B20" i="49"/>
  <c r="B21" i="49"/>
  <c r="B22" i="49"/>
  <c r="F22" i="49" s="1"/>
  <c r="H26" i="27" s="1"/>
  <c r="R30" i="41" s="1"/>
  <c r="B23" i="49"/>
  <c r="F23" i="49" s="1"/>
  <c r="H27" i="27" s="1"/>
  <c r="R31" i="41" s="1"/>
  <c r="B24" i="49"/>
  <c r="B25" i="49"/>
  <c r="F25" i="49" s="1"/>
  <c r="H29" i="27" s="1"/>
  <c r="R33" i="41" s="1"/>
  <c r="B26" i="49"/>
  <c r="F26" i="49" s="1"/>
  <c r="H30" i="27" s="1"/>
  <c r="R34" i="41" s="1"/>
  <c r="B27" i="49"/>
  <c r="B28" i="49"/>
  <c r="B29" i="49"/>
  <c r="F29" i="49" s="1"/>
  <c r="H33" i="27" s="1"/>
  <c r="R37" i="41" s="1"/>
  <c r="B30" i="49"/>
  <c r="F30" i="49" s="1"/>
  <c r="H34" i="27" s="1"/>
  <c r="R38" i="41" s="1"/>
  <c r="B31" i="49"/>
  <c r="B32" i="49"/>
  <c r="F32" i="49" s="1"/>
  <c r="H36" i="27" s="1"/>
  <c r="R40" i="41" s="1"/>
  <c r="B33" i="49"/>
  <c r="F33" i="49" s="1"/>
  <c r="H37" i="27" s="1"/>
  <c r="R41" i="41" s="1"/>
  <c r="B34" i="49"/>
  <c r="B35" i="49"/>
  <c r="B36" i="49"/>
  <c r="B37" i="49"/>
  <c r="F37" i="49" s="1"/>
  <c r="B38" i="49"/>
  <c r="B39" i="49"/>
  <c r="F39" i="49" s="1"/>
  <c r="B40" i="49"/>
  <c r="F40" i="49" s="1"/>
  <c r="A6" i="49"/>
  <c r="A7" i="49" s="1"/>
  <c r="A8" i="49" s="1"/>
  <c r="A9" i="49" s="1"/>
  <c r="A10" i="49" s="1"/>
  <c r="A11" i="49" s="1"/>
  <c r="A12" i="49" s="1"/>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F21" i="49" l="1"/>
  <c r="H25" i="27" s="1"/>
  <c r="R29" i="41" s="1"/>
  <c r="F27" i="49"/>
  <c r="H31" i="27" s="1"/>
  <c r="R35" i="41" s="1"/>
  <c r="F15" i="49"/>
  <c r="H19" i="27" s="1"/>
  <c r="R23" i="41" s="1"/>
  <c r="F14" i="49"/>
  <c r="H18" i="27" s="1"/>
  <c r="R22" i="41" s="1"/>
  <c r="F28" i="49"/>
  <c r="H32" i="27" s="1"/>
  <c r="R36" i="41" s="1"/>
  <c r="F24" i="49"/>
  <c r="H28" i="27" s="1"/>
  <c r="R32" i="41" s="1"/>
  <c r="F35" i="49"/>
  <c r="H39" i="27" s="1"/>
  <c r="R43" i="41" s="1"/>
  <c r="F31" i="49"/>
  <c r="H35" i="27" s="1"/>
  <c r="R39" i="41" s="1"/>
  <c r="F13" i="49"/>
  <c r="H17" i="27" s="1"/>
  <c r="R21" i="41" s="1"/>
  <c r="F20" i="49"/>
  <c r="H24" i="27" s="1"/>
  <c r="R28" i="41" s="1"/>
  <c r="F36" i="49"/>
  <c r="H40" i="27" s="1"/>
  <c r="R44" i="41" s="1"/>
  <c r="F34" i="49"/>
  <c r="H38" i="27" s="1"/>
  <c r="R42" i="41" s="1"/>
  <c r="F38" i="49"/>
  <c r="E41" i="49"/>
  <c r="H8" i="27"/>
  <c r="D41" i="49"/>
  <c r="B41" i="49"/>
  <c r="C41" i="49"/>
  <c r="F41" i="49" l="1"/>
  <c r="H5" i="27"/>
  <c r="H41" i="27" s="1"/>
  <c r="R45" i="41" s="1"/>
  <c r="C15" i="41"/>
  <c r="C16" i="41"/>
  <c r="C13" i="41" l="1"/>
  <c r="C14" i="41"/>
  <c r="G20" i="27" l="1"/>
  <c r="G21" i="27"/>
  <c r="G22" i="27"/>
  <c r="G23" i="27"/>
  <c r="G24" i="27"/>
  <c r="G25" i="27"/>
  <c r="G26" i="27"/>
  <c r="G27" i="27"/>
  <c r="G28" i="27"/>
  <c r="G29" i="27"/>
  <c r="G30" i="27"/>
  <c r="A83" i="39"/>
  <c r="A84" i="39" s="1"/>
  <c r="A85" i="39" s="1"/>
  <c r="A86" i="39" s="1"/>
  <c r="A87" i="39" s="1"/>
  <c r="A88" i="39" s="1"/>
  <c r="A89" i="39" s="1"/>
  <c r="G37" i="27"/>
  <c r="G38" i="27"/>
  <c r="S46" i="41" s="1"/>
  <c r="T46" i="41" s="1"/>
  <c r="G39" i="27"/>
  <c r="S43" i="41" l="1"/>
  <c r="T43" i="41" s="1"/>
  <c r="S26" i="41"/>
  <c r="T26" i="41" s="1"/>
  <c r="S33" i="41"/>
  <c r="T33" i="41" s="1"/>
  <c r="S30" i="41"/>
  <c r="T30" i="41" s="1"/>
  <c r="S29" i="41"/>
  <c r="T29" i="41" s="1"/>
  <c r="S45" i="41"/>
  <c r="T45" i="41" s="1"/>
  <c r="S31" i="41"/>
  <c r="T31" i="41" s="1"/>
  <c r="S27" i="41"/>
  <c r="T27" i="41" s="1"/>
  <c r="S28" i="41"/>
  <c r="T28" i="41" s="1"/>
  <c r="S32" i="41"/>
  <c r="T32" i="41" s="1"/>
  <c r="A90" i="39"/>
  <c r="A91" i="39" l="1"/>
  <c r="A92" i="39" l="1"/>
  <c r="C4" i="44"/>
  <c r="A93" i="39" l="1"/>
  <c r="A94" i="39" l="1"/>
  <c r="A95" i="39" l="1"/>
  <c r="A96" i="39" l="1"/>
  <c r="A97" i="39" l="1"/>
  <c r="A98" i="39" l="1"/>
  <c r="J92" i="46"/>
  <c r="I92" i="46"/>
  <c r="J91" i="46"/>
  <c r="I91" i="46"/>
  <c r="J90" i="46"/>
  <c r="I90" i="46"/>
  <c r="J89" i="46"/>
  <c r="I89" i="46"/>
  <c r="J88" i="46"/>
  <c r="I88" i="46"/>
  <c r="J87" i="46"/>
  <c r="I87" i="46"/>
  <c r="J86" i="46"/>
  <c r="I86" i="46"/>
  <c r="J85" i="46"/>
  <c r="I85" i="46"/>
  <c r="J84" i="46"/>
  <c r="I84" i="46"/>
  <c r="J83" i="46"/>
  <c r="I83" i="46"/>
  <c r="J82" i="46"/>
  <c r="I82" i="46"/>
  <c r="J81" i="46"/>
  <c r="I81" i="46"/>
  <c r="J80" i="46"/>
  <c r="I80" i="46"/>
  <c r="J79" i="46"/>
  <c r="I79" i="46"/>
  <c r="J78" i="46"/>
  <c r="I78" i="46"/>
  <c r="J77" i="46"/>
  <c r="I77" i="46"/>
  <c r="J76" i="46"/>
  <c r="I76" i="46"/>
  <c r="J75" i="46"/>
  <c r="I75" i="46"/>
  <c r="J74" i="46"/>
  <c r="I74" i="46"/>
  <c r="J73" i="46"/>
  <c r="I73" i="46"/>
  <c r="J72" i="46"/>
  <c r="I72" i="46"/>
  <c r="J71" i="46"/>
  <c r="I71" i="46"/>
  <c r="J70" i="46"/>
  <c r="I70" i="46"/>
  <c r="J69" i="46"/>
  <c r="I69" i="46"/>
  <c r="J68" i="46"/>
  <c r="I68" i="46"/>
  <c r="J67" i="46"/>
  <c r="I67" i="46"/>
  <c r="J66" i="46"/>
  <c r="I66" i="46"/>
  <c r="J65" i="46"/>
  <c r="I65" i="46"/>
  <c r="J64" i="46"/>
  <c r="I64" i="46"/>
  <c r="J63" i="46"/>
  <c r="I63" i="46"/>
  <c r="J62" i="46"/>
  <c r="I62" i="46"/>
  <c r="J61" i="46"/>
  <c r="I61" i="46"/>
  <c r="J60" i="46"/>
  <c r="I60" i="46"/>
  <c r="J59" i="46"/>
  <c r="I59" i="46"/>
  <c r="J58" i="46"/>
  <c r="I58" i="46"/>
  <c r="J57" i="46"/>
  <c r="I57" i="46"/>
  <c r="J56" i="46"/>
  <c r="I56" i="46"/>
  <c r="J55" i="46"/>
  <c r="I55" i="46"/>
  <c r="N54" i="46"/>
  <c r="M54" i="46"/>
  <c r="J54" i="46"/>
  <c r="I54" i="46"/>
  <c r="F54" i="46"/>
  <c r="F55" i="46" s="1"/>
  <c r="D54" i="46"/>
  <c r="D55" i="46" s="1"/>
  <c r="AE43" i="46"/>
  <c r="AD43" i="46"/>
  <c r="AC43" i="46"/>
  <c r="AB43" i="46"/>
  <c r="L43" i="46"/>
  <c r="K43" i="46"/>
  <c r="J43" i="46"/>
  <c r="I43" i="46"/>
  <c r="AE42" i="46"/>
  <c r="AD42" i="46"/>
  <c r="AC42" i="46"/>
  <c r="AB42" i="46"/>
  <c r="L42" i="46"/>
  <c r="K42" i="46"/>
  <c r="J42" i="46"/>
  <c r="I42" i="46"/>
  <c r="AE41" i="46"/>
  <c r="AD41" i="46"/>
  <c r="AC41" i="46"/>
  <c r="AB41" i="46"/>
  <c r="L41" i="46"/>
  <c r="K41" i="46"/>
  <c r="J41" i="46"/>
  <c r="I41" i="46"/>
  <c r="AE40" i="46"/>
  <c r="AD40" i="46"/>
  <c r="AC40" i="46"/>
  <c r="AB40" i="46"/>
  <c r="L40" i="46"/>
  <c r="K40" i="46"/>
  <c r="J40" i="46"/>
  <c r="I40" i="46"/>
  <c r="AE39" i="46"/>
  <c r="AD39" i="46"/>
  <c r="AC39" i="46"/>
  <c r="AB39" i="46"/>
  <c r="L39" i="46"/>
  <c r="K39" i="46"/>
  <c r="J39" i="46"/>
  <c r="I39" i="46"/>
  <c r="AE38" i="46"/>
  <c r="AD38" i="46"/>
  <c r="AC38" i="46"/>
  <c r="AB38" i="46"/>
  <c r="L38" i="46"/>
  <c r="K38" i="46"/>
  <c r="J38" i="46"/>
  <c r="I38" i="46"/>
  <c r="AE37" i="46"/>
  <c r="AD37" i="46"/>
  <c r="AC37" i="46"/>
  <c r="AB37" i="46"/>
  <c r="L37" i="46"/>
  <c r="K37" i="46"/>
  <c r="J37" i="46"/>
  <c r="I37" i="46"/>
  <c r="AE36" i="46"/>
  <c r="AD36" i="46"/>
  <c r="AC36" i="46"/>
  <c r="AB36" i="46"/>
  <c r="L36" i="46"/>
  <c r="K36" i="46"/>
  <c r="J36" i="46"/>
  <c r="I36" i="46"/>
  <c r="AE35" i="46"/>
  <c r="AD35" i="46"/>
  <c r="AC35" i="46"/>
  <c r="AB35" i="46"/>
  <c r="L35" i="46"/>
  <c r="K35" i="46"/>
  <c r="J35" i="46"/>
  <c r="I35" i="46"/>
  <c r="AE34" i="46"/>
  <c r="AD34" i="46"/>
  <c r="AC34" i="46"/>
  <c r="AB34" i="46"/>
  <c r="L34" i="46"/>
  <c r="K34" i="46"/>
  <c r="J34" i="46"/>
  <c r="I34" i="46"/>
  <c r="AE33" i="46"/>
  <c r="AD33" i="46"/>
  <c r="AC33" i="46"/>
  <c r="AB33" i="46"/>
  <c r="L33" i="46"/>
  <c r="K33" i="46"/>
  <c r="J33" i="46"/>
  <c r="I33" i="46"/>
  <c r="AE32" i="46"/>
  <c r="AD32" i="46"/>
  <c r="AC32" i="46"/>
  <c r="AB32" i="46"/>
  <c r="L32" i="46"/>
  <c r="K32" i="46"/>
  <c r="J32" i="46"/>
  <c r="I32" i="46"/>
  <c r="AE31" i="46"/>
  <c r="AD31" i="46"/>
  <c r="AC31" i="46"/>
  <c r="AB31" i="46"/>
  <c r="L31" i="46"/>
  <c r="K31" i="46"/>
  <c r="J31" i="46"/>
  <c r="I31" i="46"/>
  <c r="AE30" i="46"/>
  <c r="AD30" i="46"/>
  <c r="AC30" i="46"/>
  <c r="AB30" i="46"/>
  <c r="L30" i="46"/>
  <c r="K30" i="46"/>
  <c r="J30" i="46"/>
  <c r="I30" i="46"/>
  <c r="AE29" i="46"/>
  <c r="AD29" i="46"/>
  <c r="AC29" i="46"/>
  <c r="AB29" i="46"/>
  <c r="L29" i="46"/>
  <c r="K29" i="46"/>
  <c r="J29" i="46"/>
  <c r="I29" i="46"/>
  <c r="AE28" i="46"/>
  <c r="AD28" i="46"/>
  <c r="AC28" i="46"/>
  <c r="AB28" i="46"/>
  <c r="L28" i="46"/>
  <c r="K28" i="46"/>
  <c r="J28" i="46"/>
  <c r="I28" i="46"/>
  <c r="AE27" i="46"/>
  <c r="AD27" i="46"/>
  <c r="AC27" i="46"/>
  <c r="AB27" i="46"/>
  <c r="L27" i="46"/>
  <c r="K27" i="46"/>
  <c r="J27" i="46"/>
  <c r="I27" i="46"/>
  <c r="AE26" i="46"/>
  <c r="AD26" i="46"/>
  <c r="AC26" i="46"/>
  <c r="AB26" i="46"/>
  <c r="L26" i="46"/>
  <c r="K26" i="46"/>
  <c r="J26" i="46"/>
  <c r="I26" i="46"/>
  <c r="AE25" i="46"/>
  <c r="AD25" i="46"/>
  <c r="AC25" i="46"/>
  <c r="AB25" i="46"/>
  <c r="L25" i="46"/>
  <c r="K25" i="46"/>
  <c r="J25" i="46"/>
  <c r="I25" i="46"/>
  <c r="AE24" i="46"/>
  <c r="AD24" i="46"/>
  <c r="AC24" i="46"/>
  <c r="AB24" i="46"/>
  <c r="L24" i="46"/>
  <c r="K24" i="46"/>
  <c r="J24" i="46"/>
  <c r="I24" i="46"/>
  <c r="AE23" i="46"/>
  <c r="AD23" i="46"/>
  <c r="AC23" i="46"/>
  <c r="AB23" i="46"/>
  <c r="L23" i="46"/>
  <c r="K23" i="46"/>
  <c r="J23" i="46"/>
  <c r="I23" i="46"/>
  <c r="AE22" i="46"/>
  <c r="AD22" i="46"/>
  <c r="AC22" i="46"/>
  <c r="AB22" i="46"/>
  <c r="L22" i="46"/>
  <c r="K22" i="46"/>
  <c r="J22" i="46"/>
  <c r="I22" i="46"/>
  <c r="AE21" i="46"/>
  <c r="AD21" i="46"/>
  <c r="AC21" i="46"/>
  <c r="AB21" i="46"/>
  <c r="L21" i="46"/>
  <c r="K21" i="46"/>
  <c r="J21" i="46"/>
  <c r="I21" i="46"/>
  <c r="AE20" i="46"/>
  <c r="AD20" i="46"/>
  <c r="AC20" i="46"/>
  <c r="AB20" i="46"/>
  <c r="L20" i="46"/>
  <c r="K20" i="46"/>
  <c r="J20" i="46"/>
  <c r="I20" i="46"/>
  <c r="AE19" i="46"/>
  <c r="AD19" i="46"/>
  <c r="AC19" i="46"/>
  <c r="AB19" i="46"/>
  <c r="L19" i="46"/>
  <c r="K19" i="46"/>
  <c r="J19" i="46"/>
  <c r="I19" i="46"/>
  <c r="AE18" i="46"/>
  <c r="AD18" i="46"/>
  <c r="AC18" i="46"/>
  <c r="AB18" i="46"/>
  <c r="L18" i="46"/>
  <c r="K18" i="46"/>
  <c r="J18" i="46"/>
  <c r="I18" i="46"/>
  <c r="AE17" i="46"/>
  <c r="AD17" i="46"/>
  <c r="AC17" i="46"/>
  <c r="AB17" i="46"/>
  <c r="L17" i="46"/>
  <c r="K17" i="46"/>
  <c r="J17" i="46"/>
  <c r="I17" i="46"/>
  <c r="AE16" i="46"/>
  <c r="AD16" i="46"/>
  <c r="AC16" i="46"/>
  <c r="AB16" i="46"/>
  <c r="L16" i="46"/>
  <c r="K16" i="46"/>
  <c r="J16" i="46"/>
  <c r="I16" i="46"/>
  <c r="AE15" i="46"/>
  <c r="AD15" i="46"/>
  <c r="AC15" i="46"/>
  <c r="AB15" i="46"/>
  <c r="L15" i="46"/>
  <c r="K15" i="46"/>
  <c r="J15" i="46"/>
  <c r="I15" i="46"/>
  <c r="AE14" i="46"/>
  <c r="AD14" i="46"/>
  <c r="AC14" i="46"/>
  <c r="AB14" i="46"/>
  <c r="L14" i="46"/>
  <c r="K14" i="46"/>
  <c r="J14" i="46"/>
  <c r="I14" i="46"/>
  <c r="AE13" i="46"/>
  <c r="AD13" i="46"/>
  <c r="AC13" i="46"/>
  <c r="AB13" i="46"/>
  <c r="L13" i="46"/>
  <c r="K13" i="46"/>
  <c r="J13" i="46"/>
  <c r="I13" i="46"/>
  <c r="AE12" i="46"/>
  <c r="AD12" i="46"/>
  <c r="AC12" i="46"/>
  <c r="AB12" i="46"/>
  <c r="L12" i="46"/>
  <c r="K12" i="46"/>
  <c r="J12" i="46"/>
  <c r="I12" i="46"/>
  <c r="AE11" i="46"/>
  <c r="AD11" i="46"/>
  <c r="AC11" i="46"/>
  <c r="AB11" i="46"/>
  <c r="L11" i="46"/>
  <c r="K11" i="46"/>
  <c r="J11" i="46"/>
  <c r="I11" i="46"/>
  <c r="AE10" i="46"/>
  <c r="AD10" i="46"/>
  <c r="AC10" i="46"/>
  <c r="AB10" i="46"/>
  <c r="L10" i="46"/>
  <c r="K10" i="46"/>
  <c r="J10" i="46"/>
  <c r="I10" i="46"/>
  <c r="AE9" i="46"/>
  <c r="AD9" i="46"/>
  <c r="AC9" i="46"/>
  <c r="AB9" i="46"/>
  <c r="L9" i="46"/>
  <c r="K9" i="46"/>
  <c r="J9" i="46"/>
  <c r="I9" i="46"/>
  <c r="AE8" i="46"/>
  <c r="AD8" i="46"/>
  <c r="AC8" i="46"/>
  <c r="AB8" i="46"/>
  <c r="L8" i="46"/>
  <c r="K8" i="46"/>
  <c r="J8" i="46"/>
  <c r="I8" i="46"/>
  <c r="AE7" i="46"/>
  <c r="AD7" i="46"/>
  <c r="AC7" i="46"/>
  <c r="AB7" i="46"/>
  <c r="L7" i="46"/>
  <c r="K7" i="46"/>
  <c r="J7" i="46"/>
  <c r="I7" i="46"/>
  <c r="AE6" i="46"/>
  <c r="AD6" i="46"/>
  <c r="AC6" i="46"/>
  <c r="AB6" i="46"/>
  <c r="L6" i="46"/>
  <c r="K6" i="46"/>
  <c r="J6" i="46"/>
  <c r="I6" i="46"/>
  <c r="AE5" i="46"/>
  <c r="AD5" i="46"/>
  <c r="AC5" i="46"/>
  <c r="AB5" i="46"/>
  <c r="Y5" i="46"/>
  <c r="Y6" i="46" s="1"/>
  <c r="W5" i="46"/>
  <c r="L5" i="46"/>
  <c r="K5" i="46"/>
  <c r="J5" i="46"/>
  <c r="I5" i="46"/>
  <c r="F5" i="46"/>
  <c r="F6" i="46" s="1"/>
  <c r="D5" i="46"/>
  <c r="P23" i="45"/>
  <c r="P24" i="45" s="1"/>
  <c r="O23" i="45"/>
  <c r="O24" i="45" s="1"/>
  <c r="N23" i="45"/>
  <c r="N24" i="45" s="1"/>
  <c r="M23" i="45"/>
  <c r="M24" i="45" s="1"/>
  <c r="L23" i="45"/>
  <c r="L24" i="45" s="1"/>
  <c r="K23" i="45"/>
  <c r="K24" i="45" s="1"/>
  <c r="J23" i="45"/>
  <c r="J24" i="45" s="1"/>
  <c r="I23" i="45"/>
  <c r="I24" i="45" s="1"/>
  <c r="H23" i="45"/>
  <c r="H24" i="45" s="1"/>
  <c r="G23" i="45"/>
  <c r="G24" i="45" s="1"/>
  <c r="F23" i="45"/>
  <c r="F24" i="45" s="1"/>
  <c r="E23" i="45"/>
  <c r="E24" i="45" s="1"/>
  <c r="D23" i="45"/>
  <c r="D24" i="45" s="1"/>
  <c r="C23" i="45"/>
  <c r="C24" i="45" s="1"/>
  <c r="B23" i="45"/>
  <c r="B24" i="45" s="1"/>
  <c r="P20" i="45"/>
  <c r="P19" i="45" s="1"/>
  <c r="O20" i="45"/>
  <c r="O19" i="45" s="1"/>
  <c r="N20" i="45"/>
  <c r="N19" i="45" s="1"/>
  <c r="M20" i="45"/>
  <c r="L20" i="45"/>
  <c r="L19" i="45" s="1"/>
  <c r="K20" i="45"/>
  <c r="K19" i="45" s="1"/>
  <c r="J20" i="45"/>
  <c r="J19" i="45" s="1"/>
  <c r="I20" i="45"/>
  <c r="I19" i="45" s="1"/>
  <c r="H20" i="45"/>
  <c r="H19" i="45" s="1"/>
  <c r="G20" i="45"/>
  <c r="G19" i="45" s="1"/>
  <c r="F20" i="45"/>
  <c r="F19" i="45" s="1"/>
  <c r="E20" i="45"/>
  <c r="D20" i="45"/>
  <c r="D19" i="45" s="1"/>
  <c r="C20" i="45"/>
  <c r="C19" i="45" s="1"/>
  <c r="B20" i="45"/>
  <c r="B19" i="45" s="1"/>
  <c r="M19" i="45"/>
  <c r="E19" i="45"/>
  <c r="Q15" i="45"/>
  <c r="Q16" i="45" s="1"/>
  <c r="K15" i="45"/>
  <c r="K16" i="45" s="1"/>
  <c r="H15" i="45"/>
  <c r="H16" i="45" s="1"/>
  <c r="E15" i="45"/>
  <c r="E16" i="45" s="1"/>
  <c r="C15" i="45"/>
  <c r="C16" i="45" s="1"/>
  <c r="B15" i="45"/>
  <c r="B16" i="45" s="1"/>
  <c r="Q12" i="45"/>
  <c r="Q11" i="45" s="1"/>
  <c r="K12" i="45"/>
  <c r="K11" i="45" s="1"/>
  <c r="H12" i="45"/>
  <c r="H11" i="45" s="1"/>
  <c r="E12" i="45"/>
  <c r="E11" i="45" s="1"/>
  <c r="C12" i="45"/>
  <c r="B12" i="45"/>
  <c r="B11" i="45" s="1"/>
  <c r="C11" i="45"/>
  <c r="Q7" i="45"/>
  <c r="Q8" i="45" s="1"/>
  <c r="P7" i="45"/>
  <c r="P8" i="45" s="1"/>
  <c r="O7" i="45"/>
  <c r="O8" i="45" s="1"/>
  <c r="N7" i="45"/>
  <c r="N8" i="45" s="1"/>
  <c r="M7" i="45"/>
  <c r="M8" i="45" s="1"/>
  <c r="L7" i="45"/>
  <c r="L8" i="45" s="1"/>
  <c r="K7" i="45"/>
  <c r="K8" i="45" s="1"/>
  <c r="J7" i="45"/>
  <c r="J8" i="45" s="1"/>
  <c r="I7" i="45"/>
  <c r="I8" i="45" s="1"/>
  <c r="H7" i="45"/>
  <c r="H8" i="45" s="1"/>
  <c r="G7" i="45"/>
  <c r="G8" i="45" s="1"/>
  <c r="F7" i="45"/>
  <c r="F8" i="45" s="1"/>
  <c r="E7" i="45"/>
  <c r="E8" i="45" s="1"/>
  <c r="D7" i="45"/>
  <c r="D8" i="45" s="1"/>
  <c r="C7" i="45"/>
  <c r="C8" i="45" s="1"/>
  <c r="B7" i="45"/>
  <c r="B8" i="45" s="1"/>
  <c r="Q4" i="45"/>
  <c r="P4" i="45"/>
  <c r="O4" i="45"/>
  <c r="N4" i="45"/>
  <c r="M4" i="45"/>
  <c r="L4" i="45"/>
  <c r="K4" i="45"/>
  <c r="K3" i="45" s="1"/>
  <c r="J4" i="45"/>
  <c r="J3" i="45" s="1"/>
  <c r="I4" i="45"/>
  <c r="I3" i="45" s="1"/>
  <c r="H4" i="45"/>
  <c r="H3" i="45" s="1"/>
  <c r="G4" i="45"/>
  <c r="F4" i="45"/>
  <c r="F3" i="45" s="1"/>
  <c r="E4" i="45"/>
  <c r="E3" i="45" s="1"/>
  <c r="D4" i="45"/>
  <c r="C4" i="45"/>
  <c r="C3" i="45" s="1"/>
  <c r="B4" i="45"/>
  <c r="B3" i="45" s="1"/>
  <c r="Q3" i="45"/>
  <c r="P3" i="45"/>
  <c r="O3" i="45"/>
  <c r="N3" i="45"/>
  <c r="M3" i="45"/>
  <c r="L3" i="45"/>
  <c r="G3" i="45"/>
  <c r="D3" i="45"/>
  <c r="N175" i="44"/>
  <c r="B223" i="44" s="1"/>
  <c r="I175" i="44"/>
  <c r="C175" i="44"/>
  <c r="N174" i="44"/>
  <c r="B222" i="44" s="1"/>
  <c r="I174" i="44"/>
  <c r="J174" i="44" s="1"/>
  <c r="C174" i="44"/>
  <c r="N173" i="44"/>
  <c r="B221" i="44" s="1"/>
  <c r="I173" i="44"/>
  <c r="C173" i="44"/>
  <c r="N172" i="44"/>
  <c r="B220" i="44" s="1"/>
  <c r="I172" i="44"/>
  <c r="C172" i="44"/>
  <c r="N171" i="44"/>
  <c r="B219" i="44" s="1"/>
  <c r="I171" i="44"/>
  <c r="C171" i="44"/>
  <c r="N170" i="44"/>
  <c r="B218" i="44" s="1"/>
  <c r="I170" i="44"/>
  <c r="J170" i="44" s="1"/>
  <c r="K170" i="44" s="1"/>
  <c r="C170" i="44"/>
  <c r="D170" i="44" s="1"/>
  <c r="N169" i="44"/>
  <c r="B217" i="44" s="1"/>
  <c r="I169" i="44"/>
  <c r="J169" i="44" s="1"/>
  <c r="K169" i="44" s="1"/>
  <c r="C169" i="44"/>
  <c r="N168" i="44"/>
  <c r="B216" i="44" s="1"/>
  <c r="I168" i="44"/>
  <c r="J168" i="44" s="1"/>
  <c r="C168" i="44"/>
  <c r="N167" i="44"/>
  <c r="B215" i="44" s="1"/>
  <c r="I167" i="44"/>
  <c r="J167" i="44" s="1"/>
  <c r="C167" i="44"/>
  <c r="D167" i="44" s="1"/>
  <c r="N166" i="44"/>
  <c r="B214" i="44" s="1"/>
  <c r="I166" i="44"/>
  <c r="J166" i="44" s="1"/>
  <c r="C166" i="44"/>
  <c r="N165" i="44"/>
  <c r="B213" i="44" s="1"/>
  <c r="I165" i="44"/>
  <c r="J165" i="44" s="1"/>
  <c r="K165" i="44" s="1"/>
  <c r="C165" i="44"/>
  <c r="D165" i="44" s="1"/>
  <c r="N164" i="44"/>
  <c r="B212" i="44" s="1"/>
  <c r="I164" i="44"/>
  <c r="C164" i="44"/>
  <c r="D164" i="44" s="1"/>
  <c r="N163" i="44"/>
  <c r="B211" i="44" s="1"/>
  <c r="I163" i="44"/>
  <c r="J163" i="44" s="1"/>
  <c r="K163" i="44" s="1"/>
  <c r="C163" i="44"/>
  <c r="N162" i="44"/>
  <c r="B210" i="44" s="1"/>
  <c r="I162" i="44"/>
  <c r="C162" i="44"/>
  <c r="N161" i="44"/>
  <c r="B209" i="44" s="1"/>
  <c r="I161" i="44"/>
  <c r="J161" i="44" s="1"/>
  <c r="K161" i="44" s="1"/>
  <c r="C161" i="44"/>
  <c r="N160" i="44"/>
  <c r="B208" i="44" s="1"/>
  <c r="I160" i="44"/>
  <c r="J160" i="44" s="1"/>
  <c r="C160" i="44"/>
  <c r="D160" i="44" s="1"/>
  <c r="N159" i="44"/>
  <c r="B207" i="44" s="1"/>
  <c r="I159" i="44"/>
  <c r="J159" i="44" s="1"/>
  <c r="K159" i="44" s="1"/>
  <c r="C159" i="44"/>
  <c r="N158" i="44"/>
  <c r="B206" i="44" s="1"/>
  <c r="I158" i="44"/>
  <c r="C158" i="44"/>
  <c r="N157" i="44"/>
  <c r="B205" i="44" s="1"/>
  <c r="I157" i="44"/>
  <c r="J157" i="44" s="1"/>
  <c r="K157" i="44" s="1"/>
  <c r="C157" i="44"/>
  <c r="N156" i="44"/>
  <c r="B204" i="44" s="1"/>
  <c r="J156" i="44"/>
  <c r="I156" i="44"/>
  <c r="C156" i="44"/>
  <c r="D156" i="44" s="1"/>
  <c r="N155" i="44"/>
  <c r="B203" i="44" s="1"/>
  <c r="I155" i="44"/>
  <c r="J155" i="44" s="1"/>
  <c r="K155" i="44" s="1"/>
  <c r="C155" i="44"/>
  <c r="N154" i="44"/>
  <c r="B202" i="44" s="1"/>
  <c r="I154" i="44"/>
  <c r="C154" i="44"/>
  <c r="N153" i="44"/>
  <c r="B201" i="44" s="1"/>
  <c r="I153" i="44"/>
  <c r="J153" i="44" s="1"/>
  <c r="K153" i="44" s="1"/>
  <c r="C153" i="44"/>
  <c r="N152" i="44"/>
  <c r="B200" i="44" s="1"/>
  <c r="I152" i="44"/>
  <c r="C152" i="44"/>
  <c r="D152" i="44" s="1"/>
  <c r="N151" i="44"/>
  <c r="B199" i="44" s="1"/>
  <c r="I151" i="44"/>
  <c r="J151" i="44" s="1"/>
  <c r="K151" i="44" s="1"/>
  <c r="C151" i="44"/>
  <c r="N150" i="44"/>
  <c r="B198" i="44" s="1"/>
  <c r="I150" i="44"/>
  <c r="J150" i="44" s="1"/>
  <c r="C150" i="44"/>
  <c r="D150" i="44" s="1"/>
  <c r="N149" i="44"/>
  <c r="B197" i="44" s="1"/>
  <c r="I149" i="44"/>
  <c r="J149" i="44" s="1"/>
  <c r="C149" i="44"/>
  <c r="N148" i="44"/>
  <c r="B196" i="44" s="1"/>
  <c r="I148" i="44"/>
  <c r="C148" i="44"/>
  <c r="D148" i="44" s="1"/>
  <c r="N147" i="44"/>
  <c r="B195" i="44" s="1"/>
  <c r="I147" i="44"/>
  <c r="J147" i="44" s="1"/>
  <c r="C147" i="44"/>
  <c r="N146" i="44"/>
  <c r="B194" i="44" s="1"/>
  <c r="I146" i="44"/>
  <c r="C146" i="44"/>
  <c r="D146" i="44" s="1"/>
  <c r="N145" i="44"/>
  <c r="B193" i="44" s="1"/>
  <c r="I145" i="44"/>
  <c r="J145" i="44" s="1"/>
  <c r="C145" i="44"/>
  <c r="N144" i="44"/>
  <c r="B192" i="44" s="1"/>
  <c r="I144" i="44"/>
  <c r="C144" i="44"/>
  <c r="D144" i="44" s="1"/>
  <c r="E144" i="44" s="1"/>
  <c r="N143" i="44"/>
  <c r="B191" i="44" s="1"/>
  <c r="I143" i="44"/>
  <c r="J143" i="44" s="1"/>
  <c r="C143" i="44"/>
  <c r="N142" i="44"/>
  <c r="B190" i="44" s="1"/>
  <c r="I142" i="44"/>
  <c r="C142" i="44"/>
  <c r="D142" i="44" s="1"/>
  <c r="N141" i="44"/>
  <c r="B189" i="44" s="1"/>
  <c r="I141" i="44"/>
  <c r="J141" i="44" s="1"/>
  <c r="K141" i="44" s="1"/>
  <c r="C141" i="44"/>
  <c r="N140" i="44"/>
  <c r="B188" i="44" s="1"/>
  <c r="I140" i="44"/>
  <c r="C140" i="44"/>
  <c r="D140" i="44" s="1"/>
  <c r="N139" i="44"/>
  <c r="B187" i="44" s="1"/>
  <c r="I139" i="44"/>
  <c r="J139" i="44" s="1"/>
  <c r="K139" i="44" s="1"/>
  <c r="C139" i="44"/>
  <c r="AF138" i="44"/>
  <c r="AE138" i="44"/>
  <c r="AE139" i="44" s="1"/>
  <c r="Z138" i="44"/>
  <c r="Z139" i="44" s="1"/>
  <c r="Y138" i="44"/>
  <c r="Y139" i="44" s="1"/>
  <c r="T138" i="44"/>
  <c r="T139" i="44" s="1"/>
  <c r="V139" i="44" s="1"/>
  <c r="S138" i="44"/>
  <c r="U138" i="44" s="1"/>
  <c r="N138" i="44"/>
  <c r="B186" i="44" s="1"/>
  <c r="I138" i="44"/>
  <c r="J138" i="44" s="1"/>
  <c r="K138" i="44" s="1"/>
  <c r="C138" i="44"/>
  <c r="D138" i="44" s="1"/>
  <c r="AL137" i="44"/>
  <c r="AK137" i="44"/>
  <c r="AH137" i="44"/>
  <c r="AG137" i="44"/>
  <c r="AB137" i="44"/>
  <c r="AA137" i="44"/>
  <c r="V137" i="44"/>
  <c r="U137" i="44"/>
  <c r="N137" i="44"/>
  <c r="B185" i="44" s="1"/>
  <c r="I137" i="44"/>
  <c r="J137" i="44" s="1"/>
  <c r="K137" i="44" s="1"/>
  <c r="C137" i="44"/>
  <c r="D137" i="44" s="1"/>
  <c r="L126" i="44"/>
  <c r="K126" i="44"/>
  <c r="H126" i="44"/>
  <c r="G126" i="44"/>
  <c r="C126" i="44"/>
  <c r="L125" i="44"/>
  <c r="K125" i="44"/>
  <c r="H125" i="44"/>
  <c r="G125" i="44"/>
  <c r="C125" i="44"/>
  <c r="L124" i="44"/>
  <c r="K124" i="44"/>
  <c r="H124" i="44"/>
  <c r="G124" i="44"/>
  <c r="C124" i="44"/>
  <c r="D124" i="44" s="1"/>
  <c r="L123" i="44"/>
  <c r="K123" i="44"/>
  <c r="H123" i="44"/>
  <c r="G123" i="44"/>
  <c r="C123" i="44"/>
  <c r="L122" i="44"/>
  <c r="K122" i="44"/>
  <c r="H122" i="44"/>
  <c r="G122" i="44"/>
  <c r="C122" i="44"/>
  <c r="L121" i="44"/>
  <c r="K121" i="44"/>
  <c r="H121" i="44"/>
  <c r="G121" i="44"/>
  <c r="C121" i="44"/>
  <c r="L120" i="44"/>
  <c r="K120" i="44"/>
  <c r="H120" i="44"/>
  <c r="G120" i="44"/>
  <c r="C120" i="44"/>
  <c r="L119" i="44"/>
  <c r="K119" i="44"/>
  <c r="H119" i="44"/>
  <c r="G119" i="44"/>
  <c r="C119" i="44"/>
  <c r="L118" i="44"/>
  <c r="K118" i="44"/>
  <c r="H118" i="44"/>
  <c r="G118" i="44"/>
  <c r="C118" i="44"/>
  <c r="L117" i="44"/>
  <c r="K117" i="44"/>
  <c r="H117" i="44"/>
  <c r="G117" i="44"/>
  <c r="C117" i="44"/>
  <c r="L116" i="44"/>
  <c r="K116" i="44"/>
  <c r="H116" i="44"/>
  <c r="G116" i="44"/>
  <c r="C116" i="44"/>
  <c r="D116" i="44" s="1"/>
  <c r="L115" i="44"/>
  <c r="K115" i="44"/>
  <c r="H115" i="44"/>
  <c r="G115" i="44"/>
  <c r="C115" i="44"/>
  <c r="L114" i="44"/>
  <c r="K114" i="44"/>
  <c r="H114" i="44"/>
  <c r="G114" i="44"/>
  <c r="C114" i="44"/>
  <c r="L113" i="44"/>
  <c r="K113" i="44"/>
  <c r="H113" i="44"/>
  <c r="G113" i="44"/>
  <c r="C113" i="44"/>
  <c r="L112" i="44"/>
  <c r="K112" i="44"/>
  <c r="H112" i="44"/>
  <c r="G112" i="44"/>
  <c r="C112" i="44"/>
  <c r="L111" i="44"/>
  <c r="K111" i="44"/>
  <c r="H111" i="44"/>
  <c r="G111" i="44"/>
  <c r="C111" i="44"/>
  <c r="L110" i="44"/>
  <c r="K110" i="44"/>
  <c r="H110" i="44"/>
  <c r="G110" i="44"/>
  <c r="C110" i="44"/>
  <c r="D110" i="44" s="1"/>
  <c r="N58" i="44" s="1"/>
  <c r="L109" i="44"/>
  <c r="K109" i="44"/>
  <c r="H109" i="44"/>
  <c r="G109" i="44"/>
  <c r="C109" i="44"/>
  <c r="L108" i="44"/>
  <c r="K108" i="44"/>
  <c r="H108" i="44"/>
  <c r="G108" i="44"/>
  <c r="C108" i="44"/>
  <c r="D108" i="44" s="1"/>
  <c r="L107" i="44"/>
  <c r="K107" i="44"/>
  <c r="H107" i="44"/>
  <c r="G107" i="44"/>
  <c r="C107" i="44"/>
  <c r="L106" i="44"/>
  <c r="K106" i="44"/>
  <c r="H106" i="44"/>
  <c r="G106" i="44"/>
  <c r="C106" i="44"/>
  <c r="L105" i="44"/>
  <c r="K105" i="44"/>
  <c r="H105" i="44"/>
  <c r="G105" i="44"/>
  <c r="C105" i="44"/>
  <c r="L104" i="44"/>
  <c r="K104" i="44"/>
  <c r="H104" i="44"/>
  <c r="G104" i="44"/>
  <c r="C104" i="44"/>
  <c r="D104" i="44" s="1"/>
  <c r="N52" i="44" s="1"/>
  <c r="L103" i="44"/>
  <c r="K103" i="44"/>
  <c r="H103" i="44"/>
  <c r="G103" i="44"/>
  <c r="C103" i="44"/>
  <c r="L102" i="44"/>
  <c r="K102" i="44"/>
  <c r="H102" i="44"/>
  <c r="G102" i="44"/>
  <c r="C102" i="44"/>
  <c r="D102" i="44" s="1"/>
  <c r="L101" i="44"/>
  <c r="K101" i="44"/>
  <c r="H101" i="44"/>
  <c r="G101" i="44"/>
  <c r="C101" i="44"/>
  <c r="L100" i="44"/>
  <c r="K100" i="44"/>
  <c r="H100" i="44"/>
  <c r="G100" i="44"/>
  <c r="C100" i="44"/>
  <c r="D100" i="44" s="1"/>
  <c r="L99" i="44"/>
  <c r="K99" i="44"/>
  <c r="H99" i="44"/>
  <c r="G99" i="44"/>
  <c r="C99" i="44"/>
  <c r="L98" i="44"/>
  <c r="K98" i="44"/>
  <c r="H98" i="44"/>
  <c r="G98" i="44"/>
  <c r="C98" i="44"/>
  <c r="L97" i="44"/>
  <c r="K97" i="44"/>
  <c r="H97" i="44"/>
  <c r="G97" i="44"/>
  <c r="C97" i="44"/>
  <c r="L96" i="44"/>
  <c r="K96" i="44"/>
  <c r="H96" i="44"/>
  <c r="G96" i="44"/>
  <c r="D96" i="44"/>
  <c r="E96" i="44" s="1"/>
  <c r="M44" i="44" s="1"/>
  <c r="C96" i="44"/>
  <c r="L95" i="44"/>
  <c r="K95" i="44"/>
  <c r="H95" i="44"/>
  <c r="G95" i="44"/>
  <c r="C95" i="44"/>
  <c r="L94" i="44"/>
  <c r="K94" i="44"/>
  <c r="H94" i="44"/>
  <c r="G94" i="44"/>
  <c r="C94" i="44"/>
  <c r="D94" i="44" s="1"/>
  <c r="L93" i="44"/>
  <c r="K93" i="44"/>
  <c r="H93" i="44"/>
  <c r="G93" i="44"/>
  <c r="C93" i="44"/>
  <c r="L92" i="44"/>
  <c r="K92" i="44"/>
  <c r="H92" i="44"/>
  <c r="G92" i="44"/>
  <c r="C92" i="44"/>
  <c r="L91" i="44"/>
  <c r="K91" i="44"/>
  <c r="H91" i="44"/>
  <c r="G91" i="44"/>
  <c r="C91" i="44"/>
  <c r="L90" i="44"/>
  <c r="K90" i="44"/>
  <c r="H90" i="44"/>
  <c r="G90" i="44"/>
  <c r="C90" i="44"/>
  <c r="L89" i="44"/>
  <c r="K89" i="44"/>
  <c r="H89" i="44"/>
  <c r="G89" i="44"/>
  <c r="C89" i="44"/>
  <c r="L88" i="44"/>
  <c r="K88" i="44"/>
  <c r="H88" i="44"/>
  <c r="G88" i="44"/>
  <c r="C88" i="44"/>
  <c r="B73" i="44"/>
  <c r="B76" i="44" s="1"/>
  <c r="D74" i="44" s="1"/>
  <c r="B58" i="44"/>
  <c r="B60" i="44" s="1"/>
  <c r="D55" i="44" s="1"/>
  <c r="L44" i="44"/>
  <c r="L45" i="44" s="1"/>
  <c r="L46" i="44" s="1"/>
  <c r="L47" i="44" s="1"/>
  <c r="L48" i="44" s="1"/>
  <c r="L49" i="44" s="1"/>
  <c r="L50" i="44" s="1"/>
  <c r="L51" i="44" s="1"/>
  <c r="L52" i="44" s="1"/>
  <c r="L53" i="44" s="1"/>
  <c r="L54" i="44" s="1"/>
  <c r="L55" i="44" s="1"/>
  <c r="L56" i="44" s="1"/>
  <c r="L57" i="44" s="1"/>
  <c r="L58" i="44" s="1"/>
  <c r="L59" i="44" s="1"/>
  <c r="L60" i="44" s="1"/>
  <c r="L61" i="44" s="1"/>
  <c r="L62" i="44" s="1"/>
  <c r="L63" i="44" s="1"/>
  <c r="L64" i="44" s="1"/>
  <c r="L65" i="44" s="1"/>
  <c r="L66" i="44" s="1"/>
  <c r="L67" i="44" s="1"/>
  <c r="L68" i="44" s="1"/>
  <c r="L69" i="44" s="1"/>
  <c r="L70" i="44" s="1"/>
  <c r="L71" i="44" s="1"/>
  <c r="L72" i="44" s="1"/>
  <c r="L73" i="44" s="1"/>
  <c r="L74" i="44" s="1"/>
  <c r="B42" i="44"/>
  <c r="B44" i="44" s="1"/>
  <c r="B46" i="44" s="1"/>
  <c r="D41" i="44" s="1"/>
  <c r="A34" i="44"/>
  <c r="A36" i="44" s="1"/>
  <c r="L7" i="44"/>
  <c r="L8" i="44" s="1"/>
  <c r="L9" i="44" s="1"/>
  <c r="L10" i="44" s="1"/>
  <c r="L11" i="44" s="1"/>
  <c r="L12" i="44" s="1"/>
  <c r="L13" i="44" s="1"/>
  <c r="L14" i="44" s="1"/>
  <c r="L15" i="44" s="1"/>
  <c r="L16" i="44" s="1"/>
  <c r="L17" i="44" s="1"/>
  <c r="L18" i="44" s="1"/>
  <c r="L19" i="44" s="1"/>
  <c r="L20" i="44" s="1"/>
  <c r="L21" i="44" s="1"/>
  <c r="L22" i="44" s="1"/>
  <c r="L23" i="44" s="1"/>
  <c r="L24" i="44" s="1"/>
  <c r="L25" i="44" s="1"/>
  <c r="L26" i="44" s="1"/>
  <c r="L27" i="44" s="1"/>
  <c r="L28" i="44" s="1"/>
  <c r="L29" i="44" s="1"/>
  <c r="L30" i="44" s="1"/>
  <c r="L31" i="44" s="1"/>
  <c r="L32" i="44" s="1"/>
  <c r="L33" i="44" s="1"/>
  <c r="L34" i="44" s="1"/>
  <c r="L35" i="44" s="1"/>
  <c r="L36" i="44" s="1"/>
  <c r="O147" i="44" l="1"/>
  <c r="E156" i="44"/>
  <c r="O156" i="44"/>
  <c r="O174" i="44"/>
  <c r="C222" i="44" s="1"/>
  <c r="AN137" i="44"/>
  <c r="P11" i="44"/>
  <c r="P165" i="44"/>
  <c r="P64" i="44" s="1"/>
  <c r="D174" i="44"/>
  <c r="P174" i="44" s="1"/>
  <c r="P73" i="44" s="1"/>
  <c r="AI137" i="44"/>
  <c r="P17" i="44"/>
  <c r="K147" i="44"/>
  <c r="P21" i="44"/>
  <c r="O139" i="44"/>
  <c r="D147" i="44"/>
  <c r="P8" i="44" s="1"/>
  <c r="O161" i="44"/>
  <c r="C209" i="44" s="1"/>
  <c r="P31" i="44"/>
  <c r="AA138" i="44"/>
  <c r="V138" i="44"/>
  <c r="P147" i="44"/>
  <c r="P46" i="44" s="1"/>
  <c r="O149" i="44"/>
  <c r="P156" i="44"/>
  <c r="P55" i="44" s="1"/>
  <c r="N44" i="44"/>
  <c r="D112" i="44"/>
  <c r="E112" i="44" s="1"/>
  <c r="M60" i="44" s="1"/>
  <c r="O145" i="44"/>
  <c r="O150" i="44"/>
  <c r="C198" i="44" s="1"/>
  <c r="E164" i="44"/>
  <c r="P28" i="44"/>
  <c r="O170" i="44"/>
  <c r="O164" i="44"/>
  <c r="K174" i="44"/>
  <c r="P35" i="44"/>
  <c r="C187" i="44"/>
  <c r="AB138" i="44"/>
  <c r="D145" i="44"/>
  <c r="P6" i="44" s="1"/>
  <c r="J164" i="44"/>
  <c r="K167" i="44"/>
  <c r="J173" i="44"/>
  <c r="K173" i="44" s="1"/>
  <c r="R16" i="45"/>
  <c r="F30" i="45" s="1"/>
  <c r="F31" i="45" s="1"/>
  <c r="F32" i="45" s="1"/>
  <c r="F33" i="45" s="1"/>
  <c r="F34" i="45" s="1"/>
  <c r="F35" i="45" s="1"/>
  <c r="F36" i="45" s="1"/>
  <c r="F37" i="45" s="1"/>
  <c r="F38" i="45" s="1"/>
  <c r="F39" i="45" s="1"/>
  <c r="F40" i="45" s="1"/>
  <c r="F41" i="45" s="1"/>
  <c r="F42" i="45" s="1"/>
  <c r="F43" i="45" s="1"/>
  <c r="F44" i="45" s="1"/>
  <c r="F45" i="45" s="1"/>
  <c r="F46" i="45" s="1"/>
  <c r="F47" i="45" s="1"/>
  <c r="F48" i="45" s="1"/>
  <c r="F49" i="45" s="1"/>
  <c r="F50" i="45" s="1"/>
  <c r="F51" i="45" s="1"/>
  <c r="F52" i="45" s="1"/>
  <c r="F53" i="45" s="1"/>
  <c r="F54" i="45" s="1"/>
  <c r="F55" i="45" s="1"/>
  <c r="F56" i="45" s="1"/>
  <c r="F57" i="45" s="1"/>
  <c r="F58" i="45" s="1"/>
  <c r="F59" i="45" s="1"/>
  <c r="F60" i="45" s="1"/>
  <c r="F61" i="45" s="1"/>
  <c r="F62" i="45" s="1"/>
  <c r="F63" i="45" s="1"/>
  <c r="F64" i="45" s="1"/>
  <c r="F65" i="45" s="1"/>
  <c r="F66" i="45" s="1"/>
  <c r="F67" i="45" s="1"/>
  <c r="F68" i="45" s="1"/>
  <c r="E104" i="44"/>
  <c r="M52" i="44" s="1"/>
  <c r="D90" i="44"/>
  <c r="E90" i="44" s="1"/>
  <c r="C218" i="44"/>
  <c r="K145" i="44"/>
  <c r="O160" i="44"/>
  <c r="C212" i="44"/>
  <c r="O175" i="44"/>
  <c r="C223" i="44" s="1"/>
  <c r="C197" i="44"/>
  <c r="A41" i="44"/>
  <c r="E41" i="44" s="1"/>
  <c r="E44" i="44" s="1"/>
  <c r="AG138" i="44"/>
  <c r="O165" i="44"/>
  <c r="C213" i="44" s="1"/>
  <c r="K168" i="44"/>
  <c r="D175" i="44"/>
  <c r="E175" i="44" s="1"/>
  <c r="K149" i="44"/>
  <c r="AM137" i="44"/>
  <c r="AO137" i="44" s="1"/>
  <c r="K164" i="44"/>
  <c r="P26" i="44"/>
  <c r="A55" i="44"/>
  <c r="E55" i="44" s="1"/>
  <c r="E58" i="44" s="1"/>
  <c r="E59" i="44" s="1"/>
  <c r="D63" i="44" s="1"/>
  <c r="D149" i="44"/>
  <c r="P10" i="44" s="1"/>
  <c r="K150" i="44"/>
  <c r="P160" i="44"/>
  <c r="P59" i="44" s="1"/>
  <c r="E174" i="44"/>
  <c r="O35" i="44" s="1"/>
  <c r="J175" i="44"/>
  <c r="K175" i="44" s="1"/>
  <c r="M115" i="44"/>
  <c r="I120" i="44"/>
  <c r="A99" i="39"/>
  <c r="M124" i="44"/>
  <c r="I125" i="44"/>
  <c r="I110" i="44"/>
  <c r="O92" i="44"/>
  <c r="P96" i="44"/>
  <c r="N6" i="44" s="1"/>
  <c r="P102" i="44"/>
  <c r="N12" i="44" s="1"/>
  <c r="I98" i="44"/>
  <c r="P115" i="44"/>
  <c r="I117" i="44"/>
  <c r="P114" i="44"/>
  <c r="P117" i="44"/>
  <c r="I101" i="44"/>
  <c r="I126" i="44"/>
  <c r="O126" i="44"/>
  <c r="M108" i="44"/>
  <c r="P91" i="44"/>
  <c r="P104" i="44"/>
  <c r="N14" i="44" s="1"/>
  <c r="M110" i="44"/>
  <c r="O116" i="44"/>
  <c r="O99" i="44"/>
  <c r="P106" i="44"/>
  <c r="P116" i="44"/>
  <c r="I96" i="44"/>
  <c r="M106" i="44"/>
  <c r="I124" i="44"/>
  <c r="M92" i="44"/>
  <c r="M95" i="44"/>
  <c r="I114" i="44"/>
  <c r="E5" i="46"/>
  <c r="G5" i="46" s="1"/>
  <c r="M5" i="46" s="1"/>
  <c r="O5" i="46" s="1"/>
  <c r="P110" i="44"/>
  <c r="N20" i="44" s="1"/>
  <c r="P90" i="44"/>
  <c r="P93" i="44"/>
  <c r="O100" i="44"/>
  <c r="M93" i="44"/>
  <c r="I99" i="44"/>
  <c r="P109" i="44"/>
  <c r="P95" i="44"/>
  <c r="O124" i="44"/>
  <c r="P111" i="44"/>
  <c r="M89" i="44"/>
  <c r="M99" i="44"/>
  <c r="I102" i="44"/>
  <c r="I109" i="44"/>
  <c r="M111" i="44"/>
  <c r="P112" i="44"/>
  <c r="M119" i="44"/>
  <c r="P98" i="44"/>
  <c r="P101" i="44"/>
  <c r="O102" i="44"/>
  <c r="I108" i="44"/>
  <c r="P118" i="44"/>
  <c r="M98" i="44"/>
  <c r="P108" i="44"/>
  <c r="N18" i="44" s="1"/>
  <c r="O114" i="44"/>
  <c r="O118" i="44"/>
  <c r="I123" i="44"/>
  <c r="M91" i="44"/>
  <c r="M101" i="44"/>
  <c r="I104" i="44"/>
  <c r="M105" i="44"/>
  <c r="M113" i="44"/>
  <c r="P120" i="44"/>
  <c r="I90" i="44"/>
  <c r="I93" i="44"/>
  <c r="P100" i="44"/>
  <c r="N10" i="44" s="1"/>
  <c r="R10" i="44" s="1"/>
  <c r="O103" i="44"/>
  <c r="P107" i="44"/>
  <c r="I112" i="44"/>
  <c r="O115" i="44"/>
  <c r="M117" i="44"/>
  <c r="O122" i="44"/>
  <c r="M97" i="44"/>
  <c r="M116" i="44"/>
  <c r="P125" i="44"/>
  <c r="O106" i="44"/>
  <c r="M107" i="44"/>
  <c r="P88" i="44"/>
  <c r="H185" i="44" s="1"/>
  <c r="S185" i="44" s="1"/>
  <c r="P94" i="44"/>
  <c r="M102" i="44"/>
  <c r="I118" i="44"/>
  <c r="P119" i="44"/>
  <c r="I122" i="44"/>
  <c r="M126" i="44"/>
  <c r="M88" i="44"/>
  <c r="P92" i="44"/>
  <c r="O94" i="44"/>
  <c r="M100" i="44"/>
  <c r="O111" i="44"/>
  <c r="I116" i="44"/>
  <c r="M122" i="44"/>
  <c r="P126" i="44"/>
  <c r="D6" i="46"/>
  <c r="D7" i="46" s="1"/>
  <c r="D8" i="46" s="1"/>
  <c r="P99" i="44"/>
  <c r="P123" i="44"/>
  <c r="I91" i="44"/>
  <c r="M94" i="44"/>
  <c r="O98" i="44"/>
  <c r="I115" i="44"/>
  <c r="P124" i="44"/>
  <c r="N34" i="44" s="1"/>
  <c r="O89" i="44"/>
  <c r="P103" i="44"/>
  <c r="O107" i="44"/>
  <c r="O110" i="44"/>
  <c r="M118" i="44"/>
  <c r="P122" i="44"/>
  <c r="H54" i="46"/>
  <c r="P54" i="46" s="1"/>
  <c r="R54" i="46" s="1"/>
  <c r="T54" i="46" s="1"/>
  <c r="V54" i="46" s="1"/>
  <c r="I100" i="44"/>
  <c r="M103" i="44"/>
  <c r="I106" i="44"/>
  <c r="I107" i="44"/>
  <c r="O108" i="44"/>
  <c r="M109" i="44"/>
  <c r="M114" i="44"/>
  <c r="F7" i="46"/>
  <c r="H6" i="46"/>
  <c r="N6" i="46" s="1"/>
  <c r="P6" i="46" s="1"/>
  <c r="X5" i="46"/>
  <c r="Z5" i="46" s="1"/>
  <c r="AF5" i="46" s="1"/>
  <c r="AH5" i="46" s="1"/>
  <c r="W6" i="46"/>
  <c r="Y7" i="46"/>
  <c r="AA6" i="46"/>
  <c r="H5" i="46"/>
  <c r="N5" i="46" s="1"/>
  <c r="P5" i="46" s="1"/>
  <c r="AA5" i="46"/>
  <c r="AG5" i="46" s="1"/>
  <c r="AI5" i="46" s="1"/>
  <c r="E55" i="46"/>
  <c r="G55" i="46" s="1"/>
  <c r="D56" i="46"/>
  <c r="E54" i="46"/>
  <c r="G54" i="46" s="1"/>
  <c r="O54" i="46" s="1"/>
  <c r="Q54" i="46" s="1"/>
  <c r="F56" i="46"/>
  <c r="H55" i="46"/>
  <c r="R24" i="45"/>
  <c r="E30" i="45" s="1"/>
  <c r="E31" i="45" s="1"/>
  <c r="E32" i="45" s="1"/>
  <c r="E33" i="45" s="1"/>
  <c r="E34" i="45" s="1"/>
  <c r="E35" i="45" s="1"/>
  <c r="E36" i="45" s="1"/>
  <c r="E37" i="45" s="1"/>
  <c r="E38" i="45" s="1"/>
  <c r="E39" i="45" s="1"/>
  <c r="E40" i="45" s="1"/>
  <c r="E41" i="45" s="1"/>
  <c r="E42" i="45" s="1"/>
  <c r="E43" i="45" s="1"/>
  <c r="E44" i="45" s="1"/>
  <c r="E45" i="45" s="1"/>
  <c r="E46" i="45" s="1"/>
  <c r="E47" i="45" s="1"/>
  <c r="E48" i="45" s="1"/>
  <c r="E49" i="45" s="1"/>
  <c r="E50" i="45" s="1"/>
  <c r="E51" i="45" s="1"/>
  <c r="E52" i="45" s="1"/>
  <c r="E53" i="45" s="1"/>
  <c r="E54" i="45" s="1"/>
  <c r="E55" i="45" s="1"/>
  <c r="E56" i="45" s="1"/>
  <c r="E57" i="45" s="1"/>
  <c r="E58" i="45" s="1"/>
  <c r="E59" i="45" s="1"/>
  <c r="E60" i="45" s="1"/>
  <c r="E61" i="45" s="1"/>
  <c r="E62" i="45" s="1"/>
  <c r="E63" i="45" s="1"/>
  <c r="E64" i="45" s="1"/>
  <c r="E65" i="45" s="1"/>
  <c r="E66" i="45" s="1"/>
  <c r="E67" i="45" s="1"/>
  <c r="E68" i="45" s="1"/>
  <c r="R8" i="45"/>
  <c r="D30" i="45" s="1"/>
  <c r="D31" i="45" s="1"/>
  <c r="D32" i="45" s="1"/>
  <c r="D33" i="45" s="1"/>
  <c r="D34" i="45" s="1"/>
  <c r="D35" i="45" s="1"/>
  <c r="D36" i="45" s="1"/>
  <c r="D37" i="45" s="1"/>
  <c r="D38" i="45" s="1"/>
  <c r="D39" i="45" s="1"/>
  <c r="D40" i="45" s="1"/>
  <c r="D41" i="45" s="1"/>
  <c r="D42" i="45" s="1"/>
  <c r="D43" i="45" s="1"/>
  <c r="D44" i="45" s="1"/>
  <c r="D45" i="45" s="1"/>
  <c r="D46" i="45" s="1"/>
  <c r="D47" i="45" s="1"/>
  <c r="D48" i="45" s="1"/>
  <c r="D49" i="45" s="1"/>
  <c r="D50" i="45" s="1"/>
  <c r="D51" i="45" s="1"/>
  <c r="D52" i="45" s="1"/>
  <c r="D53" i="45" s="1"/>
  <c r="D54" i="45" s="1"/>
  <c r="D55" i="45" s="1"/>
  <c r="D56" i="45" s="1"/>
  <c r="D57" i="45" s="1"/>
  <c r="D58" i="45" s="1"/>
  <c r="D59" i="45" s="1"/>
  <c r="D60" i="45" s="1"/>
  <c r="D61" i="45" s="1"/>
  <c r="D62" i="45" s="1"/>
  <c r="D63" i="45" s="1"/>
  <c r="D64" i="45" s="1"/>
  <c r="D65" i="45" s="1"/>
  <c r="D66" i="45" s="1"/>
  <c r="D67" i="45" s="1"/>
  <c r="D68" i="45" s="1"/>
  <c r="P97" i="44"/>
  <c r="I97" i="44"/>
  <c r="D114" i="44"/>
  <c r="P138" i="44"/>
  <c r="E138" i="44"/>
  <c r="Q138" i="44" s="1"/>
  <c r="Y140" i="44"/>
  <c r="AA139" i="44"/>
  <c r="E146" i="44"/>
  <c r="D88" i="44"/>
  <c r="O112" i="44"/>
  <c r="M112" i="44"/>
  <c r="O90" i="44"/>
  <c r="M90" i="44"/>
  <c r="O95" i="44"/>
  <c r="N48" i="44"/>
  <c r="E100" i="44"/>
  <c r="O104" i="44"/>
  <c r="M104" i="44"/>
  <c r="D106" i="44"/>
  <c r="E141" i="44"/>
  <c r="Q141" i="44" s="1"/>
  <c r="D141" i="44"/>
  <c r="P141" i="44" s="1"/>
  <c r="O141" i="44"/>
  <c r="C189" i="44" s="1"/>
  <c r="D213" i="44"/>
  <c r="M213" i="44" s="1"/>
  <c r="E116" i="44"/>
  <c r="N64" i="44"/>
  <c r="E142" i="44"/>
  <c r="E45" i="44"/>
  <c r="D49" i="44" s="1"/>
  <c r="P89" i="44"/>
  <c r="I89" i="44"/>
  <c r="N56" i="44"/>
  <c r="E108" i="44"/>
  <c r="D93" i="44"/>
  <c r="O96" i="44"/>
  <c r="M6" i="44" s="1"/>
  <c r="M96" i="44"/>
  <c r="C195" i="44"/>
  <c r="D98" i="44"/>
  <c r="E98" i="44" s="1"/>
  <c r="P121" i="44"/>
  <c r="I121" i="44"/>
  <c r="E143" i="44"/>
  <c r="O143" i="44"/>
  <c r="C191" i="44" s="1"/>
  <c r="D143" i="44"/>
  <c r="P143" i="44" s="1"/>
  <c r="J144" i="44"/>
  <c r="K144" i="44" s="1"/>
  <c r="Q144" i="44" s="1"/>
  <c r="O144" i="44"/>
  <c r="C192" i="44" s="1"/>
  <c r="D91" i="44"/>
  <c r="E91" i="44" s="1"/>
  <c r="O88" i="44"/>
  <c r="P113" i="44"/>
  <c r="I113" i="44"/>
  <c r="E124" i="44"/>
  <c r="N72" i="44"/>
  <c r="AF139" i="44"/>
  <c r="AL139" i="44" s="1"/>
  <c r="AH138" i="44"/>
  <c r="AN138" i="44" s="1"/>
  <c r="AL138" i="44"/>
  <c r="J140" i="44"/>
  <c r="P140" i="44" s="1"/>
  <c r="O140" i="44"/>
  <c r="C188" i="44" s="1"/>
  <c r="P105" i="44"/>
  <c r="I105" i="44"/>
  <c r="O119" i="44"/>
  <c r="O120" i="44"/>
  <c r="M120" i="44"/>
  <c r="D122" i="44"/>
  <c r="E122" i="44" s="1"/>
  <c r="W138" i="44"/>
  <c r="J148" i="44"/>
  <c r="P9" i="44" s="1"/>
  <c r="O148" i="44"/>
  <c r="C196" i="44" s="1"/>
  <c r="O125" i="44"/>
  <c r="M125" i="44"/>
  <c r="J142" i="44"/>
  <c r="P142" i="44" s="1"/>
  <c r="O142" i="44"/>
  <c r="C190" i="44" s="1"/>
  <c r="J146" i="44"/>
  <c r="P7" i="44" s="1"/>
  <c r="O146" i="44"/>
  <c r="C194" i="44" s="1"/>
  <c r="O169" i="44"/>
  <c r="C217" i="44" s="1"/>
  <c r="D169" i="44"/>
  <c r="E169" i="44" s="1"/>
  <c r="O91" i="44"/>
  <c r="D92" i="44"/>
  <c r="I95" i="44"/>
  <c r="O97" i="44"/>
  <c r="I103" i="44"/>
  <c r="O105" i="44"/>
  <c r="I111" i="44"/>
  <c r="O113" i="44"/>
  <c r="I119" i="44"/>
  <c r="E148" i="44"/>
  <c r="E150" i="44"/>
  <c r="P150" i="44"/>
  <c r="P49" i="44" s="1"/>
  <c r="I92" i="44"/>
  <c r="D89" i="44"/>
  <c r="O93" i="44"/>
  <c r="D191" i="44"/>
  <c r="M191" i="44" s="1"/>
  <c r="D118" i="44"/>
  <c r="E118" i="44" s="1"/>
  <c r="O121" i="44"/>
  <c r="M121" i="44"/>
  <c r="D126" i="44"/>
  <c r="E126" i="44" s="1"/>
  <c r="D139" i="44"/>
  <c r="P139" i="44" s="1"/>
  <c r="D151" i="44"/>
  <c r="E151" i="44" s="1"/>
  <c r="O151" i="44"/>
  <c r="C199" i="44" s="1"/>
  <c r="D162" i="44"/>
  <c r="E162" i="44" s="1"/>
  <c r="O162" i="44"/>
  <c r="C210" i="44" s="1"/>
  <c r="N50" i="44"/>
  <c r="I88" i="44"/>
  <c r="E94" i="44"/>
  <c r="C193" i="44"/>
  <c r="O101" i="44"/>
  <c r="E102" i="44"/>
  <c r="O109" i="44"/>
  <c r="E110" i="44"/>
  <c r="O117" i="44"/>
  <c r="P137" i="44"/>
  <c r="W137" i="44"/>
  <c r="AK138" i="44"/>
  <c r="S139" i="44"/>
  <c r="Z140" i="44"/>
  <c r="AB139" i="44"/>
  <c r="I94" i="44"/>
  <c r="D120" i="44"/>
  <c r="O123" i="44"/>
  <c r="M123" i="44"/>
  <c r="E137" i="44"/>
  <c r="Q137" i="44" s="1"/>
  <c r="AC137" i="44"/>
  <c r="E160" i="44"/>
  <c r="O137" i="44"/>
  <c r="C185" i="44" s="1"/>
  <c r="O138" i="44"/>
  <c r="C186" i="44" s="1"/>
  <c r="AG139" i="44"/>
  <c r="AE140" i="44"/>
  <c r="E147" i="44"/>
  <c r="O152" i="44"/>
  <c r="C200" i="44" s="1"/>
  <c r="E152" i="44"/>
  <c r="O153" i="44"/>
  <c r="C201" i="44" s="1"/>
  <c r="D153" i="44"/>
  <c r="D154" i="44"/>
  <c r="O154" i="44"/>
  <c r="C202" i="44" s="1"/>
  <c r="D158" i="44"/>
  <c r="E158" i="44" s="1"/>
  <c r="O158" i="44"/>
  <c r="C206" i="44" s="1"/>
  <c r="J162" i="44"/>
  <c r="K162" i="44" s="1"/>
  <c r="P167" i="44"/>
  <c r="P66" i="44" s="1"/>
  <c r="E167" i="44"/>
  <c r="C204" i="44"/>
  <c r="C208" i="44"/>
  <c r="T140" i="44"/>
  <c r="D95" i="44"/>
  <c r="D97" i="44"/>
  <c r="D99" i="44"/>
  <c r="D101" i="44"/>
  <c r="D103" i="44"/>
  <c r="D105" i="44"/>
  <c r="D107" i="44"/>
  <c r="D109" i="44"/>
  <c r="D111" i="44"/>
  <c r="D113" i="44"/>
  <c r="D115" i="44"/>
  <c r="D117" i="44"/>
  <c r="D119" i="44"/>
  <c r="D121" i="44"/>
  <c r="D123" i="44"/>
  <c r="D125" i="44"/>
  <c r="E140" i="44"/>
  <c r="K143" i="44"/>
  <c r="P149" i="44"/>
  <c r="P48" i="44" s="1"/>
  <c r="J152" i="44"/>
  <c r="P13" i="44" s="1"/>
  <c r="E165" i="44"/>
  <c r="O157" i="44"/>
  <c r="C205" i="44" s="1"/>
  <c r="D157" i="44"/>
  <c r="D166" i="44"/>
  <c r="O166" i="44"/>
  <c r="C214" i="44" s="1"/>
  <c r="K160" i="44"/>
  <c r="D163" i="44"/>
  <c r="O163" i="44"/>
  <c r="C211" i="44" s="1"/>
  <c r="K166" i="44"/>
  <c r="D168" i="44"/>
  <c r="E170" i="44"/>
  <c r="J171" i="44"/>
  <c r="K171" i="44" s="1"/>
  <c r="Q156" i="44"/>
  <c r="O55" i="44" s="1"/>
  <c r="P170" i="44"/>
  <c r="P69" i="44" s="1"/>
  <c r="J154" i="44"/>
  <c r="K154" i="44" s="1"/>
  <c r="K156" i="44"/>
  <c r="O17" i="44" s="1"/>
  <c r="J158" i="44"/>
  <c r="K158" i="44" s="1"/>
  <c r="D159" i="44"/>
  <c r="O159" i="44"/>
  <c r="C207" i="44" s="1"/>
  <c r="D161" i="44"/>
  <c r="D155" i="44"/>
  <c r="O155" i="44"/>
  <c r="C203" i="44" s="1"/>
  <c r="O168" i="44"/>
  <c r="C216" i="44" s="1"/>
  <c r="O167" i="44"/>
  <c r="C215" i="44" s="1"/>
  <c r="O171" i="44"/>
  <c r="C219" i="44" s="1"/>
  <c r="D171" i="44"/>
  <c r="D172" i="44"/>
  <c r="O172" i="44"/>
  <c r="C220" i="44" s="1"/>
  <c r="J172" i="44"/>
  <c r="K172" i="44" s="1"/>
  <c r="O173" i="44"/>
  <c r="C221" i="44" s="1"/>
  <c r="D173" i="44"/>
  <c r="Q94" i="44" l="1"/>
  <c r="Q174" i="44"/>
  <c r="O73" i="44" s="1"/>
  <c r="N60" i="44"/>
  <c r="Q164" i="44"/>
  <c r="O63" i="44" s="1"/>
  <c r="AM138" i="44"/>
  <c r="G186" i="44" s="1"/>
  <c r="R186" i="44" s="1"/>
  <c r="P145" i="44"/>
  <c r="P44" i="44" s="1"/>
  <c r="R44" i="44" s="1"/>
  <c r="K148" i="44"/>
  <c r="R64" i="44"/>
  <c r="N22" i="44"/>
  <c r="R6" i="44"/>
  <c r="K140" i="44"/>
  <c r="AC138" i="44"/>
  <c r="D186" i="44"/>
  <c r="M186" i="44" s="1"/>
  <c r="Q143" i="44"/>
  <c r="E191" i="44" s="1"/>
  <c r="L191" i="44" s="1"/>
  <c r="N191" i="44" s="1"/>
  <c r="K142" i="44"/>
  <c r="E149" i="44"/>
  <c r="Q149" i="44" s="1"/>
  <c r="O48" i="44" s="1"/>
  <c r="D193" i="44"/>
  <c r="M193" i="44" s="1"/>
  <c r="P144" i="44"/>
  <c r="D187" i="44"/>
  <c r="M187" i="44" s="1"/>
  <c r="E139" i="44"/>
  <c r="Q139" i="44" s="1"/>
  <c r="E187" i="44" s="1"/>
  <c r="L187" i="44" s="1"/>
  <c r="D185" i="44"/>
  <c r="M185" i="44" s="1"/>
  <c r="P175" i="44"/>
  <c r="P74" i="44" s="1"/>
  <c r="P36" i="44"/>
  <c r="O25" i="44"/>
  <c r="E145" i="44"/>
  <c r="AC139" i="44"/>
  <c r="Q140" i="44"/>
  <c r="E188" i="44" s="1"/>
  <c r="L188" i="44" s="1"/>
  <c r="P164" i="44"/>
  <c r="P63" i="44" s="1"/>
  <c r="P25" i="44"/>
  <c r="Q99" i="44"/>
  <c r="Q107" i="44"/>
  <c r="Q106" i="44"/>
  <c r="Q116" i="44"/>
  <c r="Q124" i="44"/>
  <c r="Q126" i="44"/>
  <c r="A100" i="39"/>
  <c r="Q115" i="44"/>
  <c r="Q92" i="44"/>
  <c r="Q102" i="44"/>
  <c r="Q110" i="44"/>
  <c r="Q5" i="46"/>
  <c r="S5" i="46" s="1"/>
  <c r="N26" i="44"/>
  <c r="R26" i="44" s="1"/>
  <c r="Q100" i="44"/>
  <c r="Q114" i="44"/>
  <c r="Q122" i="44"/>
  <c r="Q118" i="44"/>
  <c r="Q98" i="44"/>
  <c r="Q111" i="44"/>
  <c r="Q103" i="44"/>
  <c r="E6" i="46"/>
  <c r="G6" i="46" s="1"/>
  <c r="M6" i="46" s="1"/>
  <c r="O6" i="46" s="1"/>
  <c r="E7" i="46"/>
  <c r="G7" i="46" s="1"/>
  <c r="M7" i="46" s="1"/>
  <c r="O7" i="46" s="1"/>
  <c r="Q7" i="46" s="1"/>
  <c r="S7" i="46" s="1"/>
  <c r="Q108" i="44"/>
  <c r="R5" i="46"/>
  <c r="T5" i="46" s="1"/>
  <c r="D57" i="46"/>
  <c r="E56" i="46"/>
  <c r="G56" i="46" s="1"/>
  <c r="W7" i="46"/>
  <c r="X6" i="46"/>
  <c r="Z6" i="46" s="1"/>
  <c r="O55" i="46"/>
  <c r="Q55" i="46" s="1"/>
  <c r="S55" i="46" s="1"/>
  <c r="U55" i="46" s="1"/>
  <c r="R6" i="46"/>
  <c r="T6" i="46" s="1"/>
  <c r="AG6" i="46"/>
  <c r="AI6" i="46" s="1"/>
  <c r="AK6" i="46" s="1"/>
  <c r="AM6" i="46" s="1"/>
  <c r="D9" i="46"/>
  <c r="P55" i="46"/>
  <c r="R55" i="46" s="1"/>
  <c r="T55" i="46" s="1"/>
  <c r="V55" i="46" s="1"/>
  <c r="S54" i="46"/>
  <c r="U54" i="46" s="1"/>
  <c r="AA7" i="46"/>
  <c r="Y8" i="46"/>
  <c r="F8" i="46"/>
  <c r="E8" i="46" s="1"/>
  <c r="G8" i="46" s="1"/>
  <c r="H7" i="46"/>
  <c r="H56" i="46"/>
  <c r="F57" i="46"/>
  <c r="AK5" i="46"/>
  <c r="AM5" i="46" s="1"/>
  <c r="AJ5" i="46"/>
  <c r="AL5" i="46" s="1"/>
  <c r="M46" i="44"/>
  <c r="M8" i="44"/>
  <c r="M70" i="44"/>
  <c r="M32" i="44"/>
  <c r="P171" i="44"/>
  <c r="P70" i="44" s="1"/>
  <c r="P32" i="44"/>
  <c r="N53" i="44"/>
  <c r="N15" i="44"/>
  <c r="E105" i="44"/>
  <c r="Q151" i="44"/>
  <c r="O50" i="44" s="1"/>
  <c r="O12" i="44"/>
  <c r="Q113" i="44"/>
  <c r="H186" i="44"/>
  <c r="S186" i="44" s="1"/>
  <c r="Y141" i="44"/>
  <c r="AA140" i="44"/>
  <c r="P159" i="44"/>
  <c r="E159" i="44"/>
  <c r="P20" i="44"/>
  <c r="R20" i="44" s="1"/>
  <c r="K152" i="44"/>
  <c r="Q152" i="44" s="1"/>
  <c r="O51" i="44" s="1"/>
  <c r="N65" i="44"/>
  <c r="E117" i="44"/>
  <c r="N27" i="44"/>
  <c r="D198" i="44"/>
  <c r="M198" i="44" s="1"/>
  <c r="N49" i="44"/>
  <c r="R49" i="44" s="1"/>
  <c r="N11" i="44"/>
  <c r="R11" i="44" s="1"/>
  <c r="E101" i="44"/>
  <c r="E153" i="44"/>
  <c r="P153" i="44"/>
  <c r="P14" i="44"/>
  <c r="R14" i="44" s="1"/>
  <c r="M66" i="44"/>
  <c r="M28" i="44"/>
  <c r="P151" i="44"/>
  <c r="P12" i="44"/>
  <c r="R12" i="44" s="1"/>
  <c r="D215" i="44"/>
  <c r="M215" i="44" s="1"/>
  <c r="N66" i="44"/>
  <c r="R66" i="44" s="1"/>
  <c r="N28" i="44"/>
  <c r="R28" i="44" s="1"/>
  <c r="P169" i="44"/>
  <c r="P68" i="44" s="1"/>
  <c r="P30" i="44"/>
  <c r="AH139" i="44"/>
  <c r="AN139" i="44" s="1"/>
  <c r="H187" i="44" s="1"/>
  <c r="S187" i="44" s="1"/>
  <c r="AF140" i="44"/>
  <c r="AL140" i="44" s="1"/>
  <c r="G185" i="44"/>
  <c r="R185" i="44" s="1"/>
  <c r="T185" i="44" s="1"/>
  <c r="Q88" i="44"/>
  <c r="I185" i="44" s="1"/>
  <c r="D188" i="44"/>
  <c r="M188" i="44" s="1"/>
  <c r="Q104" i="44"/>
  <c r="M14" i="44"/>
  <c r="Q90" i="44"/>
  <c r="Q165" i="44"/>
  <c r="O64" i="44" s="1"/>
  <c r="O26" i="44"/>
  <c r="Q167" i="44"/>
  <c r="O66" i="44" s="1"/>
  <c r="O28" i="44"/>
  <c r="P173" i="44"/>
  <c r="P34" i="44"/>
  <c r="R34" i="44" s="1"/>
  <c r="E173" i="44"/>
  <c r="P154" i="44"/>
  <c r="P53" i="44" s="1"/>
  <c r="P15" i="44"/>
  <c r="N47" i="44"/>
  <c r="N9" i="44"/>
  <c r="R9" i="44" s="1"/>
  <c r="E99" i="44"/>
  <c r="N68" i="44"/>
  <c r="N30" i="44"/>
  <c r="E120" i="44"/>
  <c r="Z141" i="44"/>
  <c r="AB140" i="44"/>
  <c r="Q117" i="44"/>
  <c r="E89" i="44"/>
  <c r="E186" i="44" s="1"/>
  <c r="L186" i="44" s="1"/>
  <c r="Q105" i="44"/>
  <c r="Q169" i="44"/>
  <c r="O68" i="44" s="1"/>
  <c r="O30" i="44"/>
  <c r="Q142" i="44"/>
  <c r="P146" i="44"/>
  <c r="P45" i="44" s="1"/>
  <c r="V140" i="44"/>
  <c r="T141" i="44"/>
  <c r="AG140" i="44"/>
  <c r="AE141" i="44"/>
  <c r="Q101" i="44"/>
  <c r="Q148" i="44"/>
  <c r="O47" i="44" s="1"/>
  <c r="O9" i="44"/>
  <c r="D190" i="44"/>
  <c r="M190" i="44" s="1"/>
  <c r="E171" i="44"/>
  <c r="N67" i="44"/>
  <c r="E119" i="44"/>
  <c r="N29" i="44"/>
  <c r="Q162" i="44"/>
  <c r="O61" i="44" s="1"/>
  <c r="O23" i="44"/>
  <c r="D195" i="44"/>
  <c r="M195" i="44" s="1"/>
  <c r="N46" i="44"/>
  <c r="R46" i="44" s="1"/>
  <c r="N8" i="44"/>
  <c r="R8" i="44" s="1"/>
  <c r="Q175" i="44"/>
  <c r="O74" i="44" s="1"/>
  <c r="O36" i="44"/>
  <c r="Q170" i="44"/>
  <c r="O69" i="44" s="1"/>
  <c r="O31" i="44"/>
  <c r="P166" i="44"/>
  <c r="P65" i="44" s="1"/>
  <c r="E166" i="44"/>
  <c r="P27" i="44"/>
  <c r="N23" i="44"/>
  <c r="E113" i="44"/>
  <c r="N61" i="44"/>
  <c r="N45" i="44"/>
  <c r="N7" i="44"/>
  <c r="R7" i="44" s="1"/>
  <c r="E97" i="44"/>
  <c r="Q158" i="44"/>
  <c r="O57" i="44" s="1"/>
  <c r="O19" i="44"/>
  <c r="Q160" i="44"/>
  <c r="O59" i="44" s="1"/>
  <c r="O21" i="44"/>
  <c r="AK139" i="44"/>
  <c r="U139" i="44"/>
  <c r="S140" i="44"/>
  <c r="M58" i="44"/>
  <c r="M20" i="44"/>
  <c r="AI138" i="44"/>
  <c r="Q120" i="44"/>
  <c r="M18" i="44"/>
  <c r="M56" i="44"/>
  <c r="E197" i="44"/>
  <c r="L197" i="44" s="1"/>
  <c r="M48" i="44"/>
  <c r="Q48" i="44" s="1"/>
  <c r="M10" i="44"/>
  <c r="Q112" i="44"/>
  <c r="M22" i="44"/>
  <c r="N62" i="44"/>
  <c r="N24" i="44"/>
  <c r="E161" i="44"/>
  <c r="P161" i="44"/>
  <c r="P22" i="44"/>
  <c r="Q121" i="44"/>
  <c r="Q91" i="44"/>
  <c r="N70" i="44"/>
  <c r="R70" i="44" s="1"/>
  <c r="N32" i="44"/>
  <c r="E163" i="44"/>
  <c r="P163" i="44"/>
  <c r="P62" i="44" s="1"/>
  <c r="P24" i="44"/>
  <c r="AI139" i="44"/>
  <c r="P168" i="44"/>
  <c r="P67" i="44" s="1"/>
  <c r="P29" i="44"/>
  <c r="D208" i="44"/>
  <c r="M208" i="44" s="1"/>
  <c r="E111" i="44"/>
  <c r="N59" i="44"/>
  <c r="R59" i="44" s="1"/>
  <c r="N21" i="44"/>
  <c r="R21" i="44" s="1"/>
  <c r="D192" i="44"/>
  <c r="M192" i="44" s="1"/>
  <c r="E95" i="44"/>
  <c r="E192" i="44" s="1"/>
  <c r="L192" i="44" s="1"/>
  <c r="Q109" i="44"/>
  <c r="Q97" i="44"/>
  <c r="P152" i="44"/>
  <c r="P51" i="44" s="1"/>
  <c r="Q119" i="44"/>
  <c r="M34" i="44"/>
  <c r="M72" i="44"/>
  <c r="Q96" i="44"/>
  <c r="E213" i="44"/>
  <c r="L213" i="44" s="1"/>
  <c r="N213" i="44" s="1"/>
  <c r="M26" i="44"/>
  <c r="M64" i="44"/>
  <c r="R48" i="44"/>
  <c r="E114" i="44"/>
  <c r="D218" i="44"/>
  <c r="M218" i="44" s="1"/>
  <c r="N69" i="44"/>
  <c r="R69" i="44" s="1"/>
  <c r="E121" i="44"/>
  <c r="N31" i="44"/>
  <c r="R31" i="44" s="1"/>
  <c r="M74" i="44"/>
  <c r="M36" i="44"/>
  <c r="Q123" i="44"/>
  <c r="N25" i="44"/>
  <c r="R25" i="44" s="1"/>
  <c r="N63" i="44"/>
  <c r="E115" i="44"/>
  <c r="P157" i="44"/>
  <c r="E157" i="44"/>
  <c r="P18" i="44"/>
  <c r="R18" i="44" s="1"/>
  <c r="E168" i="44"/>
  <c r="D222" i="44"/>
  <c r="M222" i="44" s="1"/>
  <c r="N73" i="44"/>
  <c r="R73" i="44" s="1"/>
  <c r="E125" i="44"/>
  <c r="N35" i="44"/>
  <c r="R35" i="44" s="1"/>
  <c r="N57" i="44"/>
  <c r="E109" i="44"/>
  <c r="N19" i="44"/>
  <c r="P158" i="44"/>
  <c r="P57" i="44" s="1"/>
  <c r="P19" i="44"/>
  <c r="Q147" i="44"/>
  <c r="O46" i="44" s="1"/>
  <c r="O8" i="44"/>
  <c r="Q89" i="44"/>
  <c r="N74" i="44"/>
  <c r="N36" i="44"/>
  <c r="P148" i="44"/>
  <c r="P47" i="44" s="1"/>
  <c r="N54" i="44"/>
  <c r="N16" i="44"/>
  <c r="D197" i="44"/>
  <c r="M197" i="44" s="1"/>
  <c r="Q93" i="44"/>
  <c r="N51" i="44"/>
  <c r="E103" i="44"/>
  <c r="N13" i="44"/>
  <c r="R13" i="44" s="1"/>
  <c r="E88" i="44"/>
  <c r="E185" i="44" s="1"/>
  <c r="L185" i="44" s="1"/>
  <c r="N185" i="44" s="1"/>
  <c r="P172" i="44"/>
  <c r="P71" i="44" s="1"/>
  <c r="E172" i="44"/>
  <c r="P33" i="44"/>
  <c r="P155" i="44"/>
  <c r="P54" i="44" s="1"/>
  <c r="E155" i="44"/>
  <c r="P16" i="44"/>
  <c r="N33" i="44"/>
  <c r="E123" i="44"/>
  <c r="N71" i="44"/>
  <c r="D204" i="44"/>
  <c r="M204" i="44" s="1"/>
  <c r="E107" i="44"/>
  <c r="N55" i="44"/>
  <c r="R55" i="44" s="1"/>
  <c r="N17" i="44"/>
  <c r="R17" i="44" s="1"/>
  <c r="E154" i="44"/>
  <c r="O6" i="44"/>
  <c r="Q6" i="44" s="1"/>
  <c r="Q145" i="44"/>
  <c r="E199" i="44"/>
  <c r="L199" i="44" s="1"/>
  <c r="M12" i="44"/>
  <c r="Q12" i="44" s="1"/>
  <c r="M50" i="44"/>
  <c r="P162" i="44"/>
  <c r="P61" i="44" s="1"/>
  <c r="P23" i="44"/>
  <c r="Q150" i="44"/>
  <c r="O49" i="44" s="1"/>
  <c r="O11" i="44"/>
  <c r="D189" i="44"/>
  <c r="M189" i="44" s="1"/>
  <c r="E92" i="44"/>
  <c r="E189" i="44" s="1"/>
  <c r="L189" i="44" s="1"/>
  <c r="K146" i="44"/>
  <c r="O7" i="44" s="1"/>
  <c r="Q125" i="44"/>
  <c r="AO138" i="44"/>
  <c r="E93" i="44"/>
  <c r="E106" i="44"/>
  <c r="Q95" i="44"/>
  <c r="S6" i="44" l="1"/>
  <c r="R22" i="44"/>
  <c r="R51" i="44"/>
  <c r="E215" i="44"/>
  <c r="L215" i="44" s="1"/>
  <c r="N215" i="44" s="1"/>
  <c r="R63" i="44"/>
  <c r="R36" i="44"/>
  <c r="Q64" i="44"/>
  <c r="S64" i="44" s="1"/>
  <c r="T64" i="44" s="1"/>
  <c r="D219" i="44"/>
  <c r="M219" i="44" s="1"/>
  <c r="N188" i="44"/>
  <c r="Q50" i="44"/>
  <c r="D212" i="44"/>
  <c r="M212" i="44" s="1"/>
  <c r="E223" i="44"/>
  <c r="L223" i="44" s="1"/>
  <c r="N186" i="44"/>
  <c r="Q36" i="44"/>
  <c r="S36" i="44" s="1"/>
  <c r="T36" i="44" s="1"/>
  <c r="D194" i="44"/>
  <c r="M194" i="44" s="1"/>
  <c r="T186" i="44"/>
  <c r="N187" i="44"/>
  <c r="O10" i="44"/>
  <c r="Q10" i="44" s="1"/>
  <c r="S10" i="44" s="1"/>
  <c r="T10" i="44" s="1"/>
  <c r="R62" i="44"/>
  <c r="R74" i="44"/>
  <c r="D211" i="44"/>
  <c r="M211" i="44" s="1"/>
  <c r="D200" i="44"/>
  <c r="M200" i="44" s="1"/>
  <c r="D223" i="44"/>
  <c r="M223" i="44" s="1"/>
  <c r="N223" i="44" s="1"/>
  <c r="E190" i="44"/>
  <c r="L190" i="44" s="1"/>
  <c r="N190" i="44" s="1"/>
  <c r="N192" i="44"/>
  <c r="D196" i="44"/>
  <c r="M196" i="44" s="1"/>
  <c r="A101" i="39"/>
  <c r="S12" i="44"/>
  <c r="T12" i="44" s="1"/>
  <c r="Q6" i="46"/>
  <c r="S6" i="46" s="1"/>
  <c r="R24" i="44"/>
  <c r="R30" i="44"/>
  <c r="Q26" i="44"/>
  <c r="S26" i="44" s="1"/>
  <c r="T26" i="44" s="1"/>
  <c r="N189" i="44"/>
  <c r="M8" i="46"/>
  <c r="O8" i="46" s="1"/>
  <c r="Q8" i="46" s="1"/>
  <c r="S8" i="46" s="1"/>
  <c r="H57" i="46"/>
  <c r="F58" i="46"/>
  <c r="AF6" i="46"/>
  <c r="AH6" i="46" s="1"/>
  <c r="AJ6" i="46" s="1"/>
  <c r="AL6" i="46" s="1"/>
  <c r="P56" i="46"/>
  <c r="R56" i="46" s="1"/>
  <c r="T56" i="46" s="1"/>
  <c r="V56" i="46" s="1"/>
  <c r="W8" i="46"/>
  <c r="X7" i="46"/>
  <c r="Z7" i="46" s="1"/>
  <c r="D10" i="46"/>
  <c r="D58" i="46"/>
  <c r="E57" i="46"/>
  <c r="G57" i="46" s="1"/>
  <c r="N7" i="46"/>
  <c r="P7" i="46" s="1"/>
  <c r="R7" i="46" s="1"/>
  <c r="T7" i="46" s="1"/>
  <c r="H8" i="46"/>
  <c r="F9" i="46"/>
  <c r="E9" i="46" s="1"/>
  <c r="G9" i="46" s="1"/>
  <c r="Y9" i="46"/>
  <c r="AA8" i="46"/>
  <c r="O56" i="46"/>
  <c r="Q56" i="46" s="1"/>
  <c r="S56" i="46" s="1"/>
  <c r="U56" i="46" s="1"/>
  <c r="AG7" i="46"/>
  <c r="AI7" i="46" s="1"/>
  <c r="AK7" i="46" s="1"/>
  <c r="AM7" i="46" s="1"/>
  <c r="T6" i="44"/>
  <c r="E222" i="44"/>
  <c r="L222" i="44" s="1"/>
  <c r="N222" i="44" s="1"/>
  <c r="M73" i="44"/>
  <c r="Q73" i="44" s="1"/>
  <c r="S73" i="44" s="1"/>
  <c r="T73" i="44" s="1"/>
  <c r="M35" i="44"/>
  <c r="Q35" i="44" s="1"/>
  <c r="S35" i="44" s="1"/>
  <c r="T35" i="44" s="1"/>
  <c r="E208" i="44"/>
  <c r="L208" i="44" s="1"/>
  <c r="N208" i="44" s="1"/>
  <c r="M59" i="44"/>
  <c r="Q59" i="44" s="1"/>
  <c r="S59" i="44" s="1"/>
  <c r="T59" i="44" s="1"/>
  <c r="M21" i="44"/>
  <c r="Q21" i="44" s="1"/>
  <c r="S21" i="44" s="1"/>
  <c r="T21" i="44" s="1"/>
  <c r="R32" i="44"/>
  <c r="P60" i="44"/>
  <c r="R60" i="44" s="1"/>
  <c r="D209" i="44"/>
  <c r="M209" i="44" s="1"/>
  <c r="O13" i="44"/>
  <c r="R61" i="44"/>
  <c r="E217" i="44"/>
  <c r="L217" i="44" s="1"/>
  <c r="M68" i="44"/>
  <c r="Q68" i="44" s="1"/>
  <c r="M30" i="44"/>
  <c r="Q30" i="44" s="1"/>
  <c r="Q28" i="44"/>
  <c r="S28" i="44" s="1"/>
  <c r="T28" i="44" s="1"/>
  <c r="E212" i="44"/>
  <c r="L212" i="44" s="1"/>
  <c r="N212" i="44" s="1"/>
  <c r="M63" i="44"/>
  <c r="Q63" i="44" s="1"/>
  <c r="S63" i="44" s="1"/>
  <c r="T63" i="44" s="1"/>
  <c r="M25" i="44"/>
  <c r="Q25" i="44" s="1"/>
  <c r="S25" i="44" s="1"/>
  <c r="T25" i="44" s="1"/>
  <c r="R71" i="44"/>
  <c r="Q172" i="44"/>
  <c r="O71" i="44" s="1"/>
  <c r="O33" i="44"/>
  <c r="E218" i="44"/>
  <c r="L218" i="44" s="1"/>
  <c r="N218" i="44" s="1"/>
  <c r="M69" i="44"/>
  <c r="Q69" i="44" s="1"/>
  <c r="S69" i="44" s="1"/>
  <c r="T69" i="44" s="1"/>
  <c r="M31" i="44"/>
  <c r="Q31" i="44" s="1"/>
  <c r="S31" i="44" s="1"/>
  <c r="T31" i="44" s="1"/>
  <c r="Q161" i="44"/>
  <c r="O22" i="44"/>
  <c r="Q22" i="44" s="1"/>
  <c r="S22" i="44" s="1"/>
  <c r="T22" i="44" s="1"/>
  <c r="E210" i="44"/>
  <c r="L210" i="44" s="1"/>
  <c r="M61" i="44"/>
  <c r="Q61" i="44" s="1"/>
  <c r="M23" i="44"/>
  <c r="Q23" i="44" s="1"/>
  <c r="R29" i="44"/>
  <c r="Q66" i="44"/>
  <c r="S66" i="44" s="1"/>
  <c r="T66" i="44" s="1"/>
  <c r="Q159" i="44"/>
  <c r="O20" i="44"/>
  <c r="Q20" i="44" s="1"/>
  <c r="S20" i="44" s="1"/>
  <c r="T20" i="44" s="1"/>
  <c r="E204" i="44"/>
  <c r="L204" i="44" s="1"/>
  <c r="N204" i="44" s="1"/>
  <c r="M55" i="44"/>
  <c r="Q55" i="44" s="1"/>
  <c r="S55" i="44" s="1"/>
  <c r="T55" i="44" s="1"/>
  <c r="M17" i="44"/>
  <c r="Q17" i="44" s="1"/>
  <c r="S17" i="44" s="1"/>
  <c r="T17" i="44" s="1"/>
  <c r="R23" i="44"/>
  <c r="M67" i="44"/>
  <c r="M29" i="44"/>
  <c r="R68" i="44"/>
  <c r="Q173" i="44"/>
  <c r="O34" i="44"/>
  <c r="Q34" i="44" s="1"/>
  <c r="S34" i="44" s="1"/>
  <c r="T34" i="44" s="1"/>
  <c r="P58" i="44"/>
  <c r="R58" i="44" s="1"/>
  <c r="D207" i="44"/>
  <c r="M207" i="44" s="1"/>
  <c r="M54" i="44"/>
  <c r="M16" i="44"/>
  <c r="Q163" i="44"/>
  <c r="O62" i="44" s="1"/>
  <c r="O24" i="44"/>
  <c r="AB141" i="44"/>
  <c r="Z142" i="44"/>
  <c r="E198" i="44"/>
  <c r="L198" i="44" s="1"/>
  <c r="N198" i="44" s="1"/>
  <c r="M49" i="44"/>
  <c r="Q49" i="44" s="1"/>
  <c r="S49" i="44" s="1"/>
  <c r="T49" i="44" s="1"/>
  <c r="M11" i="44"/>
  <c r="Q11" i="44" s="1"/>
  <c r="S11" i="44" s="1"/>
  <c r="T11" i="44" s="1"/>
  <c r="E220" i="44"/>
  <c r="L220" i="44" s="1"/>
  <c r="M71" i="44"/>
  <c r="M33" i="44"/>
  <c r="R33" i="44"/>
  <c r="R19" i="44"/>
  <c r="Q168" i="44"/>
  <c r="O67" i="44" s="1"/>
  <c r="O29" i="44"/>
  <c r="S48" i="44"/>
  <c r="T48" i="44" s="1"/>
  <c r="S141" i="44"/>
  <c r="U140" i="44"/>
  <c r="AK140" i="44"/>
  <c r="D210" i="44"/>
  <c r="M210" i="44" s="1"/>
  <c r="R67" i="44"/>
  <c r="AE142" i="44"/>
  <c r="AG141" i="44"/>
  <c r="D217" i="44"/>
  <c r="M217" i="44" s="1"/>
  <c r="R27" i="44"/>
  <c r="AC140" i="44"/>
  <c r="M53" i="44"/>
  <c r="M15" i="44"/>
  <c r="Q154" i="44"/>
  <c r="O53" i="44" s="1"/>
  <c r="O15" i="44"/>
  <c r="D220" i="44"/>
  <c r="M220" i="44" s="1"/>
  <c r="E206" i="44"/>
  <c r="L206" i="44" s="1"/>
  <c r="M57" i="44"/>
  <c r="Q57" i="44" s="1"/>
  <c r="M19" i="44"/>
  <c r="Q19" i="44" s="1"/>
  <c r="M62" i="44"/>
  <c r="M24" i="44"/>
  <c r="Q24" i="44" s="1"/>
  <c r="N197" i="44"/>
  <c r="W139" i="44"/>
  <c r="AM139" i="44"/>
  <c r="M45" i="44"/>
  <c r="M7" i="44"/>
  <c r="Q7" i="44" s="1"/>
  <c r="S7" i="44" s="1"/>
  <c r="T7" i="44" s="1"/>
  <c r="D216" i="44"/>
  <c r="M216" i="44" s="1"/>
  <c r="E196" i="44"/>
  <c r="L196" i="44" s="1"/>
  <c r="M47" i="44"/>
  <c r="Q47" i="44" s="1"/>
  <c r="M9" i="44"/>
  <c r="Q9" i="44" s="1"/>
  <c r="S9" i="44" s="1"/>
  <c r="T9" i="44" s="1"/>
  <c r="P72" i="44"/>
  <c r="R72" i="44" s="1"/>
  <c r="D221" i="44"/>
  <c r="M221" i="44" s="1"/>
  <c r="AH140" i="44"/>
  <c r="AI140" i="44" s="1"/>
  <c r="AF141" i="44"/>
  <c r="M27" i="44"/>
  <c r="M65" i="44"/>
  <c r="Y142" i="44"/>
  <c r="AA141" i="44"/>
  <c r="R15" i="44"/>
  <c r="Q8" i="44"/>
  <c r="S8" i="44" s="1"/>
  <c r="T8" i="44" s="1"/>
  <c r="D203" i="44"/>
  <c r="M203" i="44" s="1"/>
  <c r="O44" i="44"/>
  <c r="Q44" i="44" s="1"/>
  <c r="S44" i="44" s="1"/>
  <c r="E193" i="44"/>
  <c r="L193" i="44" s="1"/>
  <c r="N193" i="44" s="1"/>
  <c r="R16" i="44"/>
  <c r="R57" i="44"/>
  <c r="Q157" i="44"/>
  <c r="O18" i="44"/>
  <c r="Q18" i="44" s="1"/>
  <c r="S18" i="44" s="1"/>
  <c r="T18" i="44" s="1"/>
  <c r="Q146" i="44"/>
  <c r="O45" i="44" s="1"/>
  <c r="Q166" i="44"/>
  <c r="O65" i="44" s="1"/>
  <c r="O27" i="44"/>
  <c r="O32" i="44"/>
  <c r="Q32" i="44" s="1"/>
  <c r="Q171" i="44"/>
  <c r="AL141" i="44"/>
  <c r="V141" i="44"/>
  <c r="T142" i="44"/>
  <c r="P52" i="44"/>
  <c r="R52" i="44" s="1"/>
  <c r="D201" i="44"/>
  <c r="M201" i="44" s="1"/>
  <c r="R65" i="44"/>
  <c r="R53" i="44"/>
  <c r="Q46" i="44"/>
  <c r="S46" i="44" s="1"/>
  <c r="T46" i="44" s="1"/>
  <c r="Q155" i="44"/>
  <c r="O54" i="44" s="1"/>
  <c r="O16" i="44"/>
  <c r="E200" i="44"/>
  <c r="L200" i="44" s="1"/>
  <c r="M51" i="44"/>
  <c r="Q51" i="44" s="1"/>
  <c r="S51" i="44" s="1"/>
  <c r="T51" i="44" s="1"/>
  <c r="M13" i="44"/>
  <c r="R54" i="44"/>
  <c r="I186" i="44"/>
  <c r="D206" i="44"/>
  <c r="M206" i="44" s="1"/>
  <c r="P56" i="44"/>
  <c r="R56" i="44" s="1"/>
  <c r="D205" i="44"/>
  <c r="M205" i="44" s="1"/>
  <c r="Q74" i="44"/>
  <c r="S74" i="44" s="1"/>
  <c r="T74" i="44" s="1"/>
  <c r="R45" i="44"/>
  <c r="R47" i="44"/>
  <c r="P50" i="44"/>
  <c r="R50" i="44" s="1"/>
  <c r="D199" i="44"/>
  <c r="M199" i="44" s="1"/>
  <c r="N199" i="44" s="1"/>
  <c r="O14" i="44"/>
  <c r="Q14" i="44" s="1"/>
  <c r="S14" i="44" s="1"/>
  <c r="T14" i="44" s="1"/>
  <c r="Q153" i="44"/>
  <c r="D214" i="44"/>
  <c r="M214" i="44" s="1"/>
  <c r="D202" i="44"/>
  <c r="M202" i="44" s="1"/>
  <c r="E195" i="44"/>
  <c r="L195" i="44" s="1"/>
  <c r="N195" i="44" s="1"/>
  <c r="N196" i="44" l="1"/>
  <c r="N200" i="44"/>
  <c r="S50" i="44"/>
  <c r="T50" i="44" s="1"/>
  <c r="AC141" i="44"/>
  <c r="Q15" i="44"/>
  <c r="S15" i="44" s="1"/>
  <c r="T15" i="44" s="1"/>
  <c r="S61" i="44"/>
  <c r="T61" i="44" s="1"/>
  <c r="S24" i="44"/>
  <c r="T24" i="44" s="1"/>
  <c r="Q62" i="44"/>
  <c r="S62" i="44" s="1"/>
  <c r="T62" i="44" s="1"/>
  <c r="AN140" i="44"/>
  <c r="H188" i="44" s="1"/>
  <c r="S188" i="44" s="1"/>
  <c r="E211" i="44"/>
  <c r="L211" i="44" s="1"/>
  <c r="N211" i="44" s="1"/>
  <c r="E194" i="44"/>
  <c r="L194" i="44" s="1"/>
  <c r="N194" i="44" s="1"/>
  <c r="N220" i="44"/>
  <c r="Q67" i="44"/>
  <c r="Q54" i="44"/>
  <c r="S54" i="44" s="1"/>
  <c r="T54" i="44" s="1"/>
  <c r="A102" i="39"/>
  <c r="S30" i="44"/>
  <c r="T30" i="44" s="1"/>
  <c r="S32" i="44"/>
  <c r="T32" i="44" s="1"/>
  <c r="Q13" i="44"/>
  <c r="S13" i="44" s="1"/>
  <c r="T13" i="44" s="1"/>
  <c r="Q33" i="44"/>
  <c r="S33" i="44" s="1"/>
  <c r="T33" i="44" s="1"/>
  <c r="Q29" i="44"/>
  <c r="S29" i="44" s="1"/>
  <c r="T29" i="44" s="1"/>
  <c r="S19" i="44"/>
  <c r="T19" i="44" s="1"/>
  <c r="S23" i="44"/>
  <c r="T23" i="44" s="1"/>
  <c r="M9" i="46"/>
  <c r="O9" i="46" s="1"/>
  <c r="Q9" i="46" s="1"/>
  <c r="S9" i="46" s="1"/>
  <c r="O57" i="46"/>
  <c r="Q57" i="46" s="1"/>
  <c r="S57" i="46" s="1"/>
  <c r="U57" i="46" s="1"/>
  <c r="AG8" i="46"/>
  <c r="AI8" i="46" s="1"/>
  <c r="AK8" i="46" s="1"/>
  <c r="AM8" i="46" s="1"/>
  <c r="H58" i="46"/>
  <c r="F59" i="46"/>
  <c r="Y10" i="46"/>
  <c r="AA9" i="46"/>
  <c r="D11" i="46"/>
  <c r="P57" i="46"/>
  <c r="R57" i="46" s="1"/>
  <c r="T57" i="46" s="1"/>
  <c r="V57" i="46" s="1"/>
  <c r="F10" i="46"/>
  <c r="E10" i="46" s="1"/>
  <c r="G10" i="46" s="1"/>
  <c r="H9" i="46"/>
  <c r="AF7" i="46"/>
  <c r="AH7" i="46" s="1"/>
  <c r="AJ7" i="46" s="1"/>
  <c r="AL7" i="46" s="1"/>
  <c r="D59" i="46"/>
  <c r="E58" i="46"/>
  <c r="G58" i="46" s="1"/>
  <c r="N8" i="46"/>
  <c r="P8" i="46" s="1"/>
  <c r="R8" i="46" s="1"/>
  <c r="T8" i="46" s="1"/>
  <c r="X8" i="46"/>
  <c r="Z8" i="46" s="1"/>
  <c r="W9" i="46"/>
  <c r="E203" i="44"/>
  <c r="L203" i="44" s="1"/>
  <c r="N203" i="44" s="1"/>
  <c r="S67" i="44"/>
  <c r="T67" i="44" s="1"/>
  <c r="AE143" i="44"/>
  <c r="AG142" i="44"/>
  <c r="V142" i="44"/>
  <c r="T143" i="44"/>
  <c r="Y143" i="44"/>
  <c r="AA142" i="44"/>
  <c r="Q45" i="44"/>
  <c r="S45" i="44" s="1"/>
  <c r="T45" i="44" s="1"/>
  <c r="Q53" i="44"/>
  <c r="S53" i="44" s="1"/>
  <c r="T53" i="44" s="1"/>
  <c r="E216" i="44"/>
  <c r="L216" i="44" s="1"/>
  <c r="N216" i="44" s="1"/>
  <c r="N210" i="44"/>
  <c r="Q65" i="44"/>
  <c r="S65" i="44" s="1"/>
  <c r="T65" i="44" s="1"/>
  <c r="E202" i="44"/>
  <c r="L202" i="44" s="1"/>
  <c r="N202" i="44" s="1"/>
  <c r="AB142" i="44"/>
  <c r="Z143" i="44"/>
  <c r="O58" i="44"/>
  <c r="Q58" i="44" s="1"/>
  <c r="S58" i="44" s="1"/>
  <c r="T58" i="44" s="1"/>
  <c r="E207" i="44"/>
  <c r="L207" i="44" s="1"/>
  <c r="N207" i="44" s="1"/>
  <c r="T44" i="44"/>
  <c r="Q27" i="44"/>
  <c r="S27" i="44" s="1"/>
  <c r="T27" i="44" s="1"/>
  <c r="S47" i="44"/>
  <c r="T47" i="44" s="1"/>
  <c r="AO139" i="44"/>
  <c r="I187" i="44" s="1"/>
  <c r="G187" i="44"/>
  <c r="R187" i="44" s="1"/>
  <c r="T187" i="44" s="1"/>
  <c r="S57" i="44"/>
  <c r="T57" i="44" s="1"/>
  <c r="W140" i="44"/>
  <c r="AM140" i="44"/>
  <c r="S68" i="44"/>
  <c r="T68" i="44" s="1"/>
  <c r="O70" i="44"/>
  <c r="Q70" i="44" s="1"/>
  <c r="S70" i="44" s="1"/>
  <c r="T70" i="44" s="1"/>
  <c r="E219" i="44"/>
  <c r="L219" i="44" s="1"/>
  <c r="N219" i="44" s="1"/>
  <c r="E214" i="44"/>
  <c r="L214" i="44" s="1"/>
  <c r="N214" i="44" s="1"/>
  <c r="N206" i="44"/>
  <c r="S142" i="44"/>
  <c r="AK141" i="44"/>
  <c r="U141" i="44"/>
  <c r="O60" i="44"/>
  <c r="Q60" i="44" s="1"/>
  <c r="S60" i="44" s="1"/>
  <c r="T60" i="44" s="1"/>
  <c r="E209" i="44"/>
  <c r="L209" i="44" s="1"/>
  <c r="N209" i="44" s="1"/>
  <c r="N217" i="44"/>
  <c r="O52" i="44"/>
  <c r="Q52" i="44" s="1"/>
  <c r="S52" i="44" s="1"/>
  <c r="T52" i="44" s="1"/>
  <c r="E201" i="44"/>
  <c r="L201" i="44" s="1"/>
  <c r="N201" i="44" s="1"/>
  <c r="AF142" i="44"/>
  <c r="AL142" i="44" s="1"/>
  <c r="AH141" i="44"/>
  <c r="AN141" i="44" s="1"/>
  <c r="H189" i="44" s="1"/>
  <c r="S189" i="44" s="1"/>
  <c r="Q71" i="44"/>
  <c r="S71" i="44" s="1"/>
  <c r="T71" i="44" s="1"/>
  <c r="O72" i="44"/>
  <c r="Q72" i="44" s="1"/>
  <c r="S72" i="44" s="1"/>
  <c r="T72" i="44" s="1"/>
  <c r="E221" i="44"/>
  <c r="L221" i="44" s="1"/>
  <c r="N221" i="44" s="1"/>
  <c r="O56" i="44"/>
  <c r="Q56" i="44" s="1"/>
  <c r="S56" i="44" s="1"/>
  <c r="T56" i="44" s="1"/>
  <c r="E205" i="44"/>
  <c r="L205" i="44" s="1"/>
  <c r="N205" i="44" s="1"/>
  <c r="Q16" i="44"/>
  <c r="S16" i="44" s="1"/>
  <c r="T16" i="44" s="1"/>
  <c r="AI141" i="44" l="1"/>
  <c r="A103" i="39"/>
  <c r="T37" i="44"/>
  <c r="M10" i="46"/>
  <c r="O10" i="46" s="1"/>
  <c r="Q10" i="46" s="1"/>
  <c r="S10" i="46" s="1"/>
  <c r="AF8" i="46"/>
  <c r="AH8" i="46" s="1"/>
  <c r="AJ8" i="46" s="1"/>
  <c r="AL8" i="46" s="1"/>
  <c r="P58" i="46"/>
  <c r="R58" i="46" s="1"/>
  <c r="T58" i="46" s="1"/>
  <c r="V58" i="46" s="1"/>
  <c r="N9" i="46"/>
  <c r="P9" i="46" s="1"/>
  <c r="R9" i="46" s="1"/>
  <c r="T9" i="46" s="1"/>
  <c r="E59" i="46"/>
  <c r="G59" i="46" s="1"/>
  <c r="D60" i="46"/>
  <c r="D12" i="46"/>
  <c r="X9" i="46"/>
  <c r="Z9" i="46" s="1"/>
  <c r="W10" i="46"/>
  <c r="H10" i="46"/>
  <c r="F11" i="46"/>
  <c r="E11" i="46" s="1"/>
  <c r="G11" i="46" s="1"/>
  <c r="O58" i="46"/>
  <c r="Q58" i="46" s="1"/>
  <c r="S58" i="46" s="1"/>
  <c r="U58" i="46" s="1"/>
  <c r="AG9" i="46"/>
  <c r="AI9" i="46" s="1"/>
  <c r="AK9" i="46" s="1"/>
  <c r="AM9" i="46" s="1"/>
  <c r="F60" i="46"/>
  <c r="H59" i="46"/>
  <c r="AA10" i="46"/>
  <c r="Y11" i="46"/>
  <c r="T75" i="44"/>
  <c r="W141" i="44"/>
  <c r="AM141" i="44"/>
  <c r="AO140" i="44"/>
  <c r="I188" i="44" s="1"/>
  <c r="G188" i="44"/>
  <c r="R188" i="44" s="1"/>
  <c r="T188" i="44" s="1"/>
  <c r="S75" i="44"/>
  <c r="AF143" i="44"/>
  <c r="AH142" i="44"/>
  <c r="AN142" i="44" s="1"/>
  <c r="H190" i="44" s="1"/>
  <c r="S190" i="44" s="1"/>
  <c r="U142" i="44"/>
  <c r="S143" i="44"/>
  <c r="AK142" i="44"/>
  <c r="AG143" i="44"/>
  <c r="AE144" i="44"/>
  <c r="Z144" i="44"/>
  <c r="AB143" i="44"/>
  <c r="S37" i="44"/>
  <c r="AC142" i="44"/>
  <c r="T144" i="44"/>
  <c r="V143" i="44"/>
  <c r="Y144" i="44"/>
  <c r="AA143" i="44"/>
  <c r="D3" i="12"/>
  <c r="AC143" i="44" l="1"/>
  <c r="A104" i="39"/>
  <c r="A105" i="39" s="1"/>
  <c r="A106" i="39" s="1"/>
  <c r="A107" i="39" s="1"/>
  <c r="A108" i="39" s="1"/>
  <c r="A109" i="39" s="1"/>
  <c r="A110" i="39" s="1"/>
  <c r="A111" i="39" s="1"/>
  <c r="M11" i="46"/>
  <c r="O11" i="46" s="1"/>
  <c r="Q11" i="46" s="1"/>
  <c r="S11" i="46" s="1"/>
  <c r="AA11" i="46"/>
  <c r="Y12" i="46"/>
  <c r="AG10" i="46"/>
  <c r="AI10" i="46" s="1"/>
  <c r="AK10" i="46" s="1"/>
  <c r="AM10" i="46" s="1"/>
  <c r="N10" i="46"/>
  <c r="P10" i="46" s="1"/>
  <c r="R10" i="46" s="1"/>
  <c r="T10" i="46" s="1"/>
  <c r="P59" i="46"/>
  <c r="R59" i="46" s="1"/>
  <c r="T59" i="46" s="1"/>
  <c r="V59" i="46" s="1"/>
  <c r="X10" i="46"/>
  <c r="Z10" i="46" s="1"/>
  <c r="W11" i="46"/>
  <c r="F61" i="46"/>
  <c r="H60" i="46"/>
  <c r="D13" i="46"/>
  <c r="H11" i="46"/>
  <c r="F12" i="46"/>
  <c r="E12" i="46" s="1"/>
  <c r="G12" i="46" s="1"/>
  <c r="AF9" i="46"/>
  <c r="AH9" i="46" s="1"/>
  <c r="AJ9" i="46" s="1"/>
  <c r="AL9" i="46" s="1"/>
  <c r="E60" i="46"/>
  <c r="G60" i="46" s="1"/>
  <c r="D61" i="46"/>
  <c r="O59" i="46"/>
  <c r="Q59" i="46" s="1"/>
  <c r="S59" i="46" s="1"/>
  <c r="U59" i="46" s="1"/>
  <c r="AG144" i="44"/>
  <c r="AE145" i="44"/>
  <c r="AF144" i="44"/>
  <c r="AL144" i="44" s="1"/>
  <c r="AH143" i="44"/>
  <c r="AI143" i="44" s="1"/>
  <c r="Z145" i="44"/>
  <c r="AB144" i="44"/>
  <c r="T145" i="44"/>
  <c r="V144" i="44"/>
  <c r="AL143" i="44"/>
  <c r="U143" i="44"/>
  <c r="AK143" i="44"/>
  <c r="S144" i="44"/>
  <c r="AO141" i="44"/>
  <c r="I189" i="44" s="1"/>
  <c r="G189" i="44"/>
  <c r="R189" i="44" s="1"/>
  <c r="T189" i="44" s="1"/>
  <c r="AA144" i="44"/>
  <c r="Y145" i="44"/>
  <c r="W142" i="44"/>
  <c r="AM142" i="44"/>
  <c r="AI142" i="44"/>
  <c r="P14" i="41"/>
  <c r="P15" i="41" s="1"/>
  <c r="P16" i="41" s="1"/>
  <c r="P17" i="41" s="1"/>
  <c r="P18" i="41" s="1"/>
  <c r="P19" i="41" s="1"/>
  <c r="P20" i="41" s="1"/>
  <c r="P21" i="41" s="1"/>
  <c r="P22" i="41" s="1"/>
  <c r="P23" i="41" s="1"/>
  <c r="G13" i="41"/>
  <c r="G14" i="41" s="1"/>
  <c r="G15" i="41" s="1"/>
  <c r="G16" i="41" s="1"/>
  <c r="G17" i="41" s="1"/>
  <c r="G18" i="41" s="1"/>
  <c r="G19" i="41" s="1"/>
  <c r="G20" i="41" s="1"/>
  <c r="G21" i="41" s="1"/>
  <c r="G22" i="41" s="1"/>
  <c r="G23" i="41" s="1"/>
  <c r="A14" i="41"/>
  <c r="A15" i="41" s="1"/>
  <c r="A16" i="41" s="1"/>
  <c r="A17" i="41" s="1"/>
  <c r="A18" i="41" s="1"/>
  <c r="A19" i="41" s="1"/>
  <c r="A20" i="41" s="1"/>
  <c r="A21" i="41" s="1"/>
  <c r="A22" i="41" s="1"/>
  <c r="A23" i="41" s="1"/>
  <c r="AC144" i="44" l="1"/>
  <c r="G24" i="41"/>
  <c r="G25" i="41" s="1"/>
  <c r="G26" i="41" s="1"/>
  <c r="G27" i="41" s="1"/>
  <c r="G28" i="41" s="1"/>
  <c r="G29" i="41" s="1"/>
  <c r="G30" i="41" s="1"/>
  <c r="G31" i="41" s="1"/>
  <c r="G32" i="41" s="1"/>
  <c r="G33" i="41" s="1"/>
  <c r="G34" i="41" s="1"/>
  <c r="G35" i="41" s="1"/>
  <c r="G36" i="41" s="1"/>
  <c r="G37" i="41" s="1"/>
  <c r="G38" i="41" s="1"/>
  <c r="G39" i="41" s="1"/>
  <c r="G40" i="41" s="1"/>
  <c r="G41" i="41" s="1"/>
  <c r="G42" i="41" s="1"/>
  <c r="P24" i="41"/>
  <c r="P25" i="41" s="1"/>
  <c r="P26" i="41" s="1"/>
  <c r="P27" i="41" s="1"/>
  <c r="P28" i="41" s="1"/>
  <c r="P29" i="41" s="1"/>
  <c r="P30" i="41" s="1"/>
  <c r="P31" i="41" s="1"/>
  <c r="P32" i="41" s="1"/>
  <c r="P33" i="41" s="1"/>
  <c r="P34" i="41" s="1"/>
  <c r="P35" i="41" s="1"/>
  <c r="P36" i="41" s="1"/>
  <c r="P37" i="41" s="1"/>
  <c r="P38" i="41" s="1"/>
  <c r="P39" i="41" s="1"/>
  <c r="P40" i="41" s="1"/>
  <c r="P41" i="41" s="1"/>
  <c r="P42" i="41" s="1"/>
  <c r="A24" i="41"/>
  <c r="A25" i="41" s="1"/>
  <c r="A26" i="41" s="1"/>
  <c r="A27" i="41" s="1"/>
  <c r="A28" i="41" s="1"/>
  <c r="A29" i="41" s="1"/>
  <c r="A30" i="41" s="1"/>
  <c r="A31" i="41" s="1"/>
  <c r="A32" i="41" s="1"/>
  <c r="A33" i="41" s="1"/>
  <c r="A34" i="41" s="1"/>
  <c r="A35" i="41" s="1"/>
  <c r="A36" i="41" s="1"/>
  <c r="A37" i="41" s="1"/>
  <c r="A38" i="41" s="1"/>
  <c r="A39" i="41" s="1"/>
  <c r="A40" i="41" s="1"/>
  <c r="A41" i="41" s="1"/>
  <c r="A42" i="41" s="1"/>
  <c r="D14" i="46"/>
  <c r="D62" i="46"/>
  <c r="E61" i="46"/>
  <c r="G61" i="46" s="1"/>
  <c r="P60" i="46"/>
  <c r="R60" i="46" s="1"/>
  <c r="T60" i="46" s="1"/>
  <c r="V60" i="46" s="1"/>
  <c r="H61" i="46"/>
  <c r="F62" i="46"/>
  <c r="W12" i="46"/>
  <c r="X11" i="46"/>
  <c r="Z11" i="46" s="1"/>
  <c r="AA12" i="46"/>
  <c r="Y13" i="46"/>
  <c r="M12" i="46"/>
  <c r="O12" i="46" s="1"/>
  <c r="Q12" i="46" s="1"/>
  <c r="S12" i="46" s="1"/>
  <c r="AF10" i="46"/>
  <c r="AH10" i="46" s="1"/>
  <c r="AJ10" i="46" s="1"/>
  <c r="AL10" i="46" s="1"/>
  <c r="AG11" i="46"/>
  <c r="AI11" i="46" s="1"/>
  <c r="AK11" i="46" s="1"/>
  <c r="AM11" i="46" s="1"/>
  <c r="O60" i="46"/>
  <c r="Q60" i="46" s="1"/>
  <c r="S60" i="46" s="1"/>
  <c r="U60" i="46" s="1"/>
  <c r="H12" i="46"/>
  <c r="F13" i="46"/>
  <c r="N11" i="46"/>
  <c r="P11" i="46" s="1"/>
  <c r="R11" i="46" s="1"/>
  <c r="T11" i="46" s="1"/>
  <c r="T146" i="44"/>
  <c r="V145" i="44"/>
  <c r="AN143" i="44"/>
  <c r="H191" i="44" s="1"/>
  <c r="S191" i="44" s="1"/>
  <c r="S145" i="44"/>
  <c r="U144" i="44"/>
  <c r="AK144" i="44"/>
  <c r="AO142" i="44"/>
  <c r="I190" i="44" s="1"/>
  <c r="G190" i="44"/>
  <c r="R190" i="44" s="1"/>
  <c r="T190" i="44" s="1"/>
  <c r="W143" i="44"/>
  <c r="AM143" i="44"/>
  <c r="AH144" i="44"/>
  <c r="AN144" i="44" s="1"/>
  <c r="H192" i="44" s="1"/>
  <c r="S192" i="44" s="1"/>
  <c r="AF145" i="44"/>
  <c r="AL145" i="44" s="1"/>
  <c r="AB145" i="44"/>
  <c r="Z146" i="44"/>
  <c r="AA145" i="44"/>
  <c r="Y146" i="44"/>
  <c r="AE146" i="44"/>
  <c r="AG145" i="44"/>
  <c r="AC145" i="44" l="1"/>
  <c r="AI144" i="44"/>
  <c r="P43" i="41"/>
  <c r="P44" i="41" s="1"/>
  <c r="P45" i="41" s="1"/>
  <c r="P46" i="41" s="1"/>
  <c r="G43" i="41"/>
  <c r="G44" i="41" s="1"/>
  <c r="G45" i="41" s="1"/>
  <c r="G46" i="41" s="1"/>
  <c r="A43" i="41"/>
  <c r="A44" i="41" s="1"/>
  <c r="A45" i="41" s="1"/>
  <c r="A46" i="41" s="1"/>
  <c r="P61" i="46"/>
  <c r="R61" i="46" s="1"/>
  <c r="T61" i="46" s="1"/>
  <c r="V61" i="46" s="1"/>
  <c r="H62" i="46"/>
  <c r="F63" i="46"/>
  <c r="F14" i="46"/>
  <c r="E14" i="46" s="1"/>
  <c r="G14" i="46" s="1"/>
  <c r="H13" i="46"/>
  <c r="Y14" i="46"/>
  <c r="AA13" i="46"/>
  <c r="O61" i="46"/>
  <c r="Q61" i="46" s="1"/>
  <c r="S61" i="46" s="1"/>
  <c r="U61" i="46" s="1"/>
  <c r="AG12" i="46"/>
  <c r="AI12" i="46" s="1"/>
  <c r="AK12" i="46" s="1"/>
  <c r="AM12" i="46" s="1"/>
  <c r="E62" i="46"/>
  <c r="G62" i="46" s="1"/>
  <c r="D63" i="46"/>
  <c r="N12" i="46"/>
  <c r="P12" i="46" s="1"/>
  <c r="R12" i="46" s="1"/>
  <c r="T12" i="46" s="1"/>
  <c r="AF11" i="46"/>
  <c r="AH11" i="46" s="1"/>
  <c r="AJ11" i="46" s="1"/>
  <c r="AL11" i="46" s="1"/>
  <c r="E13" i="46"/>
  <c r="G13" i="46" s="1"/>
  <c r="X12" i="46"/>
  <c r="Z12" i="46" s="1"/>
  <c r="W13" i="46"/>
  <c r="D15" i="46"/>
  <c r="Y147" i="44"/>
  <c r="AA146" i="44"/>
  <c r="AB146" i="44"/>
  <c r="Z147" i="44"/>
  <c r="AF146" i="44"/>
  <c r="AH145" i="44"/>
  <c r="AN145" i="44" s="1"/>
  <c r="H193" i="44" s="1"/>
  <c r="S193" i="44" s="1"/>
  <c r="W144" i="44"/>
  <c r="AM144" i="44"/>
  <c r="S146" i="44"/>
  <c r="AK145" i="44"/>
  <c r="U145" i="44"/>
  <c r="T147" i="44"/>
  <c r="V146" i="44"/>
  <c r="AO143" i="44"/>
  <c r="I191" i="44" s="1"/>
  <c r="G191" i="44"/>
  <c r="R191" i="44" s="1"/>
  <c r="T191" i="44" s="1"/>
  <c r="AE147" i="44"/>
  <c r="AG146" i="44"/>
  <c r="AI145" i="44" l="1"/>
  <c r="AG13" i="46"/>
  <c r="AI13" i="46" s="1"/>
  <c r="AK13" i="46" s="1"/>
  <c r="AM13" i="46" s="1"/>
  <c r="M14" i="46"/>
  <c r="O14" i="46" s="1"/>
  <c r="Q14" i="46" s="1"/>
  <c r="S14" i="46" s="1"/>
  <c r="AA14" i="46"/>
  <c r="Y15" i="46"/>
  <c r="D16" i="46"/>
  <c r="E63" i="46"/>
  <c r="G63" i="46" s="1"/>
  <c r="D64" i="46"/>
  <c r="N13" i="46"/>
  <c r="P13" i="46" s="1"/>
  <c r="R13" i="46" s="1"/>
  <c r="T13" i="46" s="1"/>
  <c r="W14" i="46"/>
  <c r="X13" i="46"/>
  <c r="Z13" i="46" s="1"/>
  <c r="O62" i="46"/>
  <c r="Q62" i="46" s="1"/>
  <c r="S62" i="46" s="1"/>
  <c r="U62" i="46" s="1"/>
  <c r="F15" i="46"/>
  <c r="H14" i="46"/>
  <c r="AF12" i="46"/>
  <c r="AH12" i="46" s="1"/>
  <c r="AJ12" i="46" s="1"/>
  <c r="AL12" i="46" s="1"/>
  <c r="F64" i="46"/>
  <c r="H63" i="46"/>
  <c r="M13" i="46"/>
  <c r="O13" i="46" s="1"/>
  <c r="Q13" i="46" s="1"/>
  <c r="S13" i="46" s="1"/>
  <c r="P62" i="46"/>
  <c r="R62" i="46" s="1"/>
  <c r="T62" i="46" s="1"/>
  <c r="V62" i="46" s="1"/>
  <c r="AG147" i="44"/>
  <c r="AE148" i="44"/>
  <c r="U146" i="44"/>
  <c r="S147" i="44"/>
  <c r="AK146" i="44"/>
  <c r="AA147" i="44"/>
  <c r="Y148" i="44"/>
  <c r="AO144" i="44"/>
  <c r="I192" i="44" s="1"/>
  <c r="G192" i="44"/>
  <c r="R192" i="44" s="1"/>
  <c r="T192" i="44" s="1"/>
  <c r="W145" i="44"/>
  <c r="AM145" i="44"/>
  <c r="V147" i="44"/>
  <c r="T148" i="44"/>
  <c r="AH146" i="44"/>
  <c r="AI146" i="44" s="1"/>
  <c r="AF147" i="44"/>
  <c r="AC146" i="44"/>
  <c r="AL146" i="44"/>
  <c r="Z148" i="44"/>
  <c r="AB147" i="44"/>
  <c r="AN146" i="44" l="1"/>
  <c r="H194" i="44" s="1"/>
  <c r="S194" i="44" s="1"/>
  <c r="AC147" i="44"/>
  <c r="D17" i="46"/>
  <c r="F65" i="46"/>
  <c r="H64" i="46"/>
  <c r="X14" i="46"/>
  <c r="Z14" i="46" s="1"/>
  <c r="W15" i="46"/>
  <c r="AG14" i="46"/>
  <c r="AI14" i="46" s="1"/>
  <c r="AK14" i="46" s="1"/>
  <c r="AM14" i="46" s="1"/>
  <c r="O63" i="46"/>
  <c r="Q63" i="46" s="1"/>
  <c r="S63" i="46" s="1"/>
  <c r="U63" i="46" s="1"/>
  <c r="AA15" i="46"/>
  <c r="Y16" i="46"/>
  <c r="AF13" i="46"/>
  <c r="AH13" i="46" s="1"/>
  <c r="AJ13" i="46" s="1"/>
  <c r="AL13" i="46" s="1"/>
  <c r="F16" i="46"/>
  <c r="H15" i="46"/>
  <c r="E15" i="46"/>
  <c r="G15" i="46" s="1"/>
  <c r="P63" i="46"/>
  <c r="R63" i="46" s="1"/>
  <c r="T63" i="46" s="1"/>
  <c r="V63" i="46" s="1"/>
  <c r="N14" i="46"/>
  <c r="P14" i="46" s="1"/>
  <c r="R14" i="46" s="1"/>
  <c r="T14" i="46" s="1"/>
  <c r="D65" i="46"/>
  <c r="E64" i="46"/>
  <c r="G64" i="46" s="1"/>
  <c r="AH147" i="44"/>
  <c r="AN147" i="44" s="1"/>
  <c r="H195" i="44" s="1"/>
  <c r="S195" i="44" s="1"/>
  <c r="AF148" i="44"/>
  <c r="AO145" i="44"/>
  <c r="I193" i="44" s="1"/>
  <c r="G193" i="44"/>
  <c r="R193" i="44" s="1"/>
  <c r="T193" i="44" s="1"/>
  <c r="AG148" i="44"/>
  <c r="AE149" i="44"/>
  <c r="Y149" i="44"/>
  <c r="AA148" i="44"/>
  <c r="T149" i="44"/>
  <c r="V148" i="44"/>
  <c r="Z149" i="44"/>
  <c r="AB148" i="44"/>
  <c r="W146" i="44"/>
  <c r="AM146" i="44"/>
  <c r="AL147" i="44"/>
  <c r="U147" i="44"/>
  <c r="S148" i="44"/>
  <c r="AK147" i="44"/>
  <c r="AC148" i="44" l="1"/>
  <c r="N15" i="46"/>
  <c r="P15" i="46" s="1"/>
  <c r="R15" i="46" s="1"/>
  <c r="T15" i="46" s="1"/>
  <c r="D66" i="46"/>
  <c r="E65" i="46"/>
  <c r="G65" i="46" s="1"/>
  <c r="X15" i="46"/>
  <c r="Z15" i="46" s="1"/>
  <c r="W16" i="46"/>
  <c r="H16" i="46"/>
  <c r="F17" i="46"/>
  <c r="E17" i="46" s="1"/>
  <c r="G17" i="46" s="1"/>
  <c r="AF14" i="46"/>
  <c r="AH14" i="46" s="1"/>
  <c r="AJ14" i="46" s="1"/>
  <c r="AL14" i="46" s="1"/>
  <c r="Y17" i="46"/>
  <c r="AA16" i="46"/>
  <c r="P64" i="46"/>
  <c r="R64" i="46" s="1"/>
  <c r="T64" i="46" s="1"/>
  <c r="V64" i="46" s="1"/>
  <c r="O64" i="46"/>
  <c r="Q64" i="46" s="1"/>
  <c r="S64" i="46" s="1"/>
  <c r="U64" i="46" s="1"/>
  <c r="AG15" i="46"/>
  <c r="AI15" i="46" s="1"/>
  <c r="AK15" i="46" s="1"/>
  <c r="AM15" i="46" s="1"/>
  <c r="H65" i="46"/>
  <c r="F66" i="46"/>
  <c r="E16" i="46"/>
  <c r="G16" i="46" s="1"/>
  <c r="M15" i="46"/>
  <c r="O15" i="46" s="1"/>
  <c r="Q15" i="46" s="1"/>
  <c r="S15" i="46" s="1"/>
  <c r="D18" i="46"/>
  <c r="AH148" i="44"/>
  <c r="AI148" i="44" s="1"/>
  <c r="AF149" i="44"/>
  <c r="AL149" i="44" s="1"/>
  <c r="AO146" i="44"/>
  <c r="I194" i="44" s="1"/>
  <c r="G194" i="44"/>
  <c r="R194" i="44" s="1"/>
  <c r="T194" i="44" s="1"/>
  <c r="AI147" i="44"/>
  <c r="AA149" i="44"/>
  <c r="Y150" i="44"/>
  <c r="T150" i="44"/>
  <c r="V149" i="44"/>
  <c r="AE150" i="44"/>
  <c r="AG149" i="44"/>
  <c r="AB149" i="44"/>
  <c r="Z150" i="44"/>
  <c r="W147" i="44"/>
  <c r="AM147" i="44"/>
  <c r="S149" i="44"/>
  <c r="U148" i="44"/>
  <c r="AK148" i="44"/>
  <c r="AL148" i="44"/>
  <c r="M17" i="46" l="1"/>
  <c r="O17" i="46" s="1"/>
  <c r="Q17" i="46" s="1"/>
  <c r="S17" i="46" s="1"/>
  <c r="F18" i="46"/>
  <c r="H17" i="46"/>
  <c r="N16" i="46"/>
  <c r="P16" i="46" s="1"/>
  <c r="R16" i="46" s="1"/>
  <c r="T16" i="46" s="1"/>
  <c r="M16" i="46"/>
  <c r="O16" i="46" s="1"/>
  <c r="Q16" i="46" s="1"/>
  <c r="S16" i="46" s="1"/>
  <c r="AF15" i="46"/>
  <c r="AH15" i="46" s="1"/>
  <c r="AJ15" i="46" s="1"/>
  <c r="AL15" i="46" s="1"/>
  <c r="H66" i="46"/>
  <c r="F67" i="46"/>
  <c r="AG16" i="46"/>
  <c r="AI16" i="46" s="1"/>
  <c r="AK16" i="46" s="1"/>
  <c r="AM16" i="46" s="1"/>
  <c r="O65" i="46"/>
  <c r="Q65" i="46" s="1"/>
  <c r="S65" i="46" s="1"/>
  <c r="U65" i="46" s="1"/>
  <c r="P65" i="46"/>
  <c r="R65" i="46" s="1"/>
  <c r="T65" i="46" s="1"/>
  <c r="V65" i="46" s="1"/>
  <c r="Y18" i="46"/>
  <c r="AA17" i="46"/>
  <c r="D67" i="46"/>
  <c r="E66" i="46"/>
  <c r="G66" i="46" s="1"/>
  <c r="W17" i="46"/>
  <c r="X16" i="46"/>
  <c r="Z16" i="46" s="1"/>
  <c r="D19" i="46"/>
  <c r="AN148" i="44"/>
  <c r="H196" i="44" s="1"/>
  <c r="S196" i="44" s="1"/>
  <c r="Z151" i="44"/>
  <c r="AB150" i="44"/>
  <c r="AA150" i="44"/>
  <c r="Y151" i="44"/>
  <c r="AC149" i="44"/>
  <c r="AO147" i="44"/>
  <c r="I195" i="44" s="1"/>
  <c r="G195" i="44"/>
  <c r="R195" i="44" s="1"/>
  <c r="T195" i="44" s="1"/>
  <c r="W148" i="44"/>
  <c r="AM148" i="44"/>
  <c r="AG150" i="44"/>
  <c r="AE151" i="44"/>
  <c r="S150" i="44"/>
  <c r="AK149" i="44"/>
  <c r="U149" i="44"/>
  <c r="T151" i="44"/>
  <c r="V150" i="44"/>
  <c r="AF150" i="44"/>
  <c r="AL150" i="44" s="1"/>
  <c r="AH149" i="44"/>
  <c r="AN149" i="44" s="1"/>
  <c r="H197" i="44" s="1"/>
  <c r="S197" i="44" s="1"/>
  <c r="AI149" i="44" l="1"/>
  <c r="W18" i="46"/>
  <c r="X17" i="46"/>
  <c r="Z17" i="46" s="1"/>
  <c r="O66" i="46"/>
  <c r="Q66" i="46" s="1"/>
  <c r="S66" i="46" s="1"/>
  <c r="U66" i="46" s="1"/>
  <c r="E67" i="46"/>
  <c r="G67" i="46" s="1"/>
  <c r="D68" i="46"/>
  <c r="AG17" i="46"/>
  <c r="AI17" i="46" s="1"/>
  <c r="AK17" i="46" s="1"/>
  <c r="AM17" i="46" s="1"/>
  <c r="F68" i="46"/>
  <c r="H67" i="46"/>
  <c r="N17" i="46"/>
  <c r="P17" i="46" s="1"/>
  <c r="R17" i="46" s="1"/>
  <c r="T17" i="46" s="1"/>
  <c r="AF16" i="46"/>
  <c r="AH16" i="46" s="1"/>
  <c r="AJ16" i="46" s="1"/>
  <c r="AL16" i="46" s="1"/>
  <c r="Y19" i="46"/>
  <c r="AA18" i="46"/>
  <c r="F19" i="46"/>
  <c r="E19" i="46" s="1"/>
  <c r="G19" i="46" s="1"/>
  <c r="H18" i="46"/>
  <c r="P66" i="46"/>
  <c r="R66" i="46" s="1"/>
  <c r="T66" i="46" s="1"/>
  <c r="V66" i="46" s="1"/>
  <c r="E18" i="46"/>
  <c r="G18" i="46" s="1"/>
  <c r="D20" i="46"/>
  <c r="AO148" i="44"/>
  <c r="I196" i="44" s="1"/>
  <c r="G196" i="44"/>
  <c r="R196" i="44" s="1"/>
  <c r="T196" i="44" s="1"/>
  <c r="T152" i="44"/>
  <c r="V151" i="44"/>
  <c r="AK150" i="44"/>
  <c r="U150" i="44"/>
  <c r="S151" i="44"/>
  <c r="AF151" i="44"/>
  <c r="AL151" i="44" s="1"/>
  <c r="AH150" i="44"/>
  <c r="AI150" i="44" s="1"/>
  <c r="AE152" i="44"/>
  <c r="AG151" i="44"/>
  <c r="AA151" i="44"/>
  <c r="Y152" i="44"/>
  <c r="Z152" i="44"/>
  <c r="AB151" i="44"/>
  <c r="W149" i="44"/>
  <c r="AM149" i="44"/>
  <c r="AC150" i="44"/>
  <c r="M19" i="46" l="1"/>
  <c r="O19" i="46" s="1"/>
  <c r="Q19" i="46" s="1"/>
  <c r="S19" i="46" s="1"/>
  <c r="Y20" i="46"/>
  <c r="AA19" i="46"/>
  <c r="D21" i="46"/>
  <c r="E68" i="46"/>
  <c r="G68" i="46" s="1"/>
  <c r="D69" i="46"/>
  <c r="O67" i="46"/>
  <c r="Q67" i="46" s="1"/>
  <c r="S67" i="46" s="1"/>
  <c r="U67" i="46" s="1"/>
  <c r="AG18" i="46"/>
  <c r="AI18" i="46" s="1"/>
  <c r="AK18" i="46" s="1"/>
  <c r="AM18" i="46" s="1"/>
  <c r="M18" i="46"/>
  <c r="O18" i="46" s="1"/>
  <c r="Q18" i="46" s="1"/>
  <c r="S18" i="46" s="1"/>
  <c r="N18" i="46"/>
  <c r="P18" i="46" s="1"/>
  <c r="R18" i="46" s="1"/>
  <c r="T18" i="46" s="1"/>
  <c r="P67" i="46"/>
  <c r="R67" i="46" s="1"/>
  <c r="T67" i="46" s="1"/>
  <c r="V67" i="46" s="1"/>
  <c r="AF17" i="46"/>
  <c r="AH17" i="46" s="1"/>
  <c r="AJ17" i="46" s="1"/>
  <c r="AL17" i="46" s="1"/>
  <c r="H19" i="46"/>
  <c r="F20" i="46"/>
  <c r="F69" i="46"/>
  <c r="H68" i="46"/>
  <c r="X18" i="46"/>
  <c r="Z18" i="46" s="1"/>
  <c r="W19" i="46"/>
  <c r="Z153" i="44"/>
  <c r="AB152" i="44"/>
  <c r="AM150" i="44"/>
  <c r="W150" i="44"/>
  <c r="AO149" i="44"/>
  <c r="I197" i="44" s="1"/>
  <c r="G197" i="44"/>
  <c r="R197" i="44" s="1"/>
  <c r="T197" i="44" s="1"/>
  <c r="AN150" i="44"/>
  <c r="H198" i="44" s="1"/>
  <c r="S198" i="44" s="1"/>
  <c r="Y153" i="44"/>
  <c r="AA152" i="44"/>
  <c r="V152" i="44"/>
  <c r="T153" i="44"/>
  <c r="AC151" i="44"/>
  <c r="AG152" i="44"/>
  <c r="AE153" i="44"/>
  <c r="AF152" i="44"/>
  <c r="AL152" i="44" s="1"/>
  <c r="AH151" i="44"/>
  <c r="AN151" i="44" s="1"/>
  <c r="H199" i="44" s="1"/>
  <c r="S199" i="44" s="1"/>
  <c r="AK151" i="44"/>
  <c r="S152" i="44"/>
  <c r="U151" i="44"/>
  <c r="A48" i="39"/>
  <c r="A49" i="39" s="1"/>
  <c r="A50" i="39" s="1"/>
  <c r="A51" i="39" s="1"/>
  <c r="A52" i="39" s="1"/>
  <c r="A53" i="39" s="1"/>
  <c r="A54" i="39" s="1"/>
  <c r="A55" i="39" s="1"/>
  <c r="A12" i="39"/>
  <c r="A13" i="39" s="1"/>
  <c r="A14" i="39" s="1"/>
  <c r="A15" i="39" s="1"/>
  <c r="A16" i="39" s="1"/>
  <c r="A17" i="39" s="1"/>
  <c r="A18" i="39" s="1"/>
  <c r="A19" i="39" s="1"/>
  <c r="AI151" i="44" l="1"/>
  <c r="A20" i="39"/>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56" i="39"/>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P68" i="46"/>
  <c r="R68" i="46" s="1"/>
  <c r="T68" i="46" s="1"/>
  <c r="V68" i="46" s="1"/>
  <c r="D70" i="46"/>
  <c r="E69" i="46"/>
  <c r="G69" i="46" s="1"/>
  <c r="H69" i="46"/>
  <c r="F70" i="46"/>
  <c r="O68" i="46"/>
  <c r="Q68" i="46" s="1"/>
  <c r="S68" i="46" s="1"/>
  <c r="U68" i="46" s="1"/>
  <c r="F21" i="46"/>
  <c r="E21" i="46" s="1"/>
  <c r="G21" i="46" s="1"/>
  <c r="H20" i="46"/>
  <c r="D22" i="46"/>
  <c r="N19" i="46"/>
  <c r="P19" i="46" s="1"/>
  <c r="R19" i="46" s="1"/>
  <c r="T19" i="46" s="1"/>
  <c r="E20" i="46"/>
  <c r="G20" i="46" s="1"/>
  <c r="AG19" i="46"/>
  <c r="AI19" i="46" s="1"/>
  <c r="AK19" i="46" s="1"/>
  <c r="AM19" i="46" s="1"/>
  <c r="W20" i="46"/>
  <c r="X19" i="46"/>
  <c r="Z19" i="46" s="1"/>
  <c r="AF18" i="46"/>
  <c r="AH18" i="46" s="1"/>
  <c r="AJ18" i="46" s="1"/>
  <c r="AL18" i="46" s="1"/>
  <c r="Y21" i="46"/>
  <c r="AA20" i="46"/>
  <c r="Y154" i="44"/>
  <c r="AA153" i="44"/>
  <c r="AK152" i="44"/>
  <c r="S153" i="44"/>
  <c r="U152" i="44"/>
  <c r="V153" i="44"/>
  <c r="T154" i="44"/>
  <c r="AO150" i="44"/>
  <c r="I198" i="44" s="1"/>
  <c r="G198" i="44"/>
  <c r="R198" i="44" s="1"/>
  <c r="T198" i="44" s="1"/>
  <c r="AM151" i="44"/>
  <c r="W151" i="44"/>
  <c r="AH152" i="44"/>
  <c r="AI152" i="44" s="1"/>
  <c r="AF153" i="44"/>
  <c r="AG153" i="44"/>
  <c r="AE154" i="44"/>
  <c r="AC152" i="44"/>
  <c r="AB153" i="44"/>
  <c r="Z154" i="44"/>
  <c r="H70" i="46" l="1"/>
  <c r="F71" i="46"/>
  <c r="O69" i="46"/>
  <c r="Q69" i="46" s="1"/>
  <c r="S69" i="46" s="1"/>
  <c r="U69" i="46" s="1"/>
  <c r="AG20" i="46"/>
  <c r="AI20" i="46" s="1"/>
  <c r="AK20" i="46" s="1"/>
  <c r="AM20" i="46" s="1"/>
  <c r="M21" i="46"/>
  <c r="O21" i="46" s="1"/>
  <c r="Q21" i="46" s="1"/>
  <c r="S21" i="46" s="1"/>
  <c r="D23" i="46"/>
  <c r="E70" i="46"/>
  <c r="G70" i="46" s="1"/>
  <c r="D71" i="46"/>
  <c r="M20" i="46"/>
  <c r="O20" i="46" s="1"/>
  <c r="Q20" i="46" s="1"/>
  <c r="S20" i="46" s="1"/>
  <c r="AA21" i="46"/>
  <c r="Y22" i="46"/>
  <c r="AF19" i="46"/>
  <c r="AH19" i="46" s="1"/>
  <c r="AJ19" i="46" s="1"/>
  <c r="AL19" i="46" s="1"/>
  <c r="W21" i="46"/>
  <c r="X20" i="46"/>
  <c r="Z20" i="46" s="1"/>
  <c r="N20" i="46"/>
  <c r="P20" i="46" s="1"/>
  <c r="R20" i="46" s="1"/>
  <c r="T20" i="46" s="1"/>
  <c r="P69" i="46"/>
  <c r="R69" i="46" s="1"/>
  <c r="T69" i="46" s="1"/>
  <c r="V69" i="46" s="1"/>
  <c r="F22" i="46"/>
  <c r="E22" i="46" s="1"/>
  <c r="G22" i="46" s="1"/>
  <c r="H21" i="46"/>
  <c r="AH153" i="44"/>
  <c r="AI153" i="44" s="1"/>
  <c r="AF154" i="44"/>
  <c r="AL154" i="44" s="1"/>
  <c r="AB154" i="44"/>
  <c r="Z155" i="44"/>
  <c r="S154" i="44"/>
  <c r="U153" i="44"/>
  <c r="AK153" i="44"/>
  <c r="AC153" i="44"/>
  <c r="AL153" i="44"/>
  <c r="AO151" i="44"/>
  <c r="I199" i="44" s="1"/>
  <c r="G199" i="44"/>
  <c r="R199" i="44" s="1"/>
  <c r="T199" i="44" s="1"/>
  <c r="AA154" i="44"/>
  <c r="Y155" i="44"/>
  <c r="W152" i="44"/>
  <c r="AM152" i="44"/>
  <c r="AE155" i="44"/>
  <c r="AG154" i="44"/>
  <c r="AN152" i="44"/>
  <c r="H200" i="44" s="1"/>
  <c r="S200" i="44" s="1"/>
  <c r="T155" i="44"/>
  <c r="V154" i="44"/>
  <c r="AN153" i="44" l="1"/>
  <c r="H201" i="44" s="1"/>
  <c r="S201" i="44" s="1"/>
  <c r="AC154" i="44"/>
  <c r="M22" i="46"/>
  <c r="O22" i="46" s="1"/>
  <c r="Q22" i="46" s="1"/>
  <c r="S22" i="46" s="1"/>
  <c r="AA22" i="46"/>
  <c r="Y23" i="46"/>
  <c r="AF20" i="46"/>
  <c r="AH20" i="46" s="1"/>
  <c r="AJ20" i="46" s="1"/>
  <c r="AL20" i="46" s="1"/>
  <c r="E71" i="46"/>
  <c r="G71" i="46" s="1"/>
  <c r="D72" i="46"/>
  <c r="AG21" i="46"/>
  <c r="AI21" i="46" s="1"/>
  <c r="AK21" i="46" s="1"/>
  <c r="AM21" i="46" s="1"/>
  <c r="W22" i="46"/>
  <c r="X21" i="46"/>
  <c r="Z21" i="46" s="1"/>
  <c r="O70" i="46"/>
  <c r="Q70" i="46" s="1"/>
  <c r="S70" i="46" s="1"/>
  <c r="U70" i="46" s="1"/>
  <c r="N21" i="46"/>
  <c r="P21" i="46" s="1"/>
  <c r="R21" i="46" s="1"/>
  <c r="T21" i="46" s="1"/>
  <c r="F72" i="46"/>
  <c r="H71" i="46"/>
  <c r="H22" i="46"/>
  <c r="F23" i="46"/>
  <c r="E23" i="46" s="1"/>
  <c r="G23" i="46" s="1"/>
  <c r="D24" i="46"/>
  <c r="P70" i="46"/>
  <c r="R70" i="46" s="1"/>
  <c r="T70" i="46" s="1"/>
  <c r="V70" i="46" s="1"/>
  <c r="AM153" i="44"/>
  <c r="W153" i="44"/>
  <c r="T156" i="44"/>
  <c r="V155" i="44"/>
  <c r="AK154" i="44"/>
  <c r="U154" i="44"/>
  <c r="S155" i="44"/>
  <c r="AB155" i="44"/>
  <c r="Z156" i="44"/>
  <c r="AA155" i="44"/>
  <c r="Y156" i="44"/>
  <c r="AO152" i="44"/>
  <c r="I200" i="44" s="1"/>
  <c r="G200" i="44"/>
  <c r="R200" i="44" s="1"/>
  <c r="T200" i="44" s="1"/>
  <c r="AH154" i="44"/>
  <c r="AN154" i="44" s="1"/>
  <c r="H202" i="44" s="1"/>
  <c r="S202" i="44" s="1"/>
  <c r="AF155" i="44"/>
  <c r="AL155" i="44" s="1"/>
  <c r="AG155" i="44"/>
  <c r="AE156" i="44"/>
  <c r="AI154" i="44" l="1"/>
  <c r="AC155" i="44"/>
  <c r="M23" i="46"/>
  <c r="O23" i="46" s="1"/>
  <c r="Q23" i="46" s="1"/>
  <c r="S23" i="46" s="1"/>
  <c r="D73" i="46"/>
  <c r="E72" i="46"/>
  <c r="G72" i="46" s="1"/>
  <c r="O71" i="46"/>
  <c r="Q71" i="46" s="1"/>
  <c r="S71" i="46" s="1"/>
  <c r="U71" i="46" s="1"/>
  <c r="D25" i="46"/>
  <c r="H23" i="46"/>
  <c r="F24" i="46"/>
  <c r="AF21" i="46"/>
  <c r="AH21" i="46" s="1"/>
  <c r="AJ21" i="46" s="1"/>
  <c r="AL21" i="46" s="1"/>
  <c r="Y24" i="46"/>
  <c r="AA23" i="46"/>
  <c r="N22" i="46"/>
  <c r="P22" i="46" s="1"/>
  <c r="R22" i="46" s="1"/>
  <c r="T22" i="46" s="1"/>
  <c r="X22" i="46"/>
  <c r="Z22" i="46" s="1"/>
  <c r="W23" i="46"/>
  <c r="AG22" i="46"/>
  <c r="AI22" i="46" s="1"/>
  <c r="AK22" i="46" s="1"/>
  <c r="AM22" i="46" s="1"/>
  <c r="P71" i="46"/>
  <c r="R71" i="46" s="1"/>
  <c r="T71" i="46" s="1"/>
  <c r="V71" i="46" s="1"/>
  <c r="H72" i="46"/>
  <c r="F73" i="46"/>
  <c r="AK155" i="44"/>
  <c r="U155" i="44"/>
  <c r="S156" i="44"/>
  <c r="AM154" i="44"/>
  <c r="W154" i="44"/>
  <c r="Y157" i="44"/>
  <c r="AA156" i="44"/>
  <c r="V156" i="44"/>
  <c r="T157" i="44"/>
  <c r="AE157" i="44"/>
  <c r="AG156" i="44"/>
  <c r="AF156" i="44"/>
  <c r="AH155" i="44"/>
  <c r="AI155" i="44" s="1"/>
  <c r="AB156" i="44"/>
  <c r="Z157" i="44"/>
  <c r="AO153" i="44"/>
  <c r="I201" i="44" s="1"/>
  <c r="G201" i="44"/>
  <c r="R201" i="44" s="1"/>
  <c r="T201" i="44" s="1"/>
  <c r="AC156" i="44" l="1"/>
  <c r="H24" i="46"/>
  <c r="F25" i="46"/>
  <c r="E25" i="46" s="1"/>
  <c r="G25" i="46" s="1"/>
  <c r="H73" i="46"/>
  <c r="F74" i="46"/>
  <c r="E24" i="46"/>
  <c r="G24" i="46" s="1"/>
  <c r="AF22" i="46"/>
  <c r="AH22" i="46" s="1"/>
  <c r="AJ22" i="46" s="1"/>
  <c r="AL22" i="46" s="1"/>
  <c r="D26" i="46"/>
  <c r="AG23" i="46"/>
  <c r="AI23" i="46" s="1"/>
  <c r="AK23" i="46" s="1"/>
  <c r="AM23" i="46" s="1"/>
  <c r="N23" i="46"/>
  <c r="P23" i="46" s="1"/>
  <c r="R23" i="46" s="1"/>
  <c r="T23" i="46" s="1"/>
  <c r="AA24" i="46"/>
  <c r="Y25" i="46"/>
  <c r="P72" i="46"/>
  <c r="R72" i="46" s="1"/>
  <c r="T72" i="46" s="1"/>
  <c r="V72" i="46" s="1"/>
  <c r="O72" i="46"/>
  <c r="Q72" i="46" s="1"/>
  <c r="S72" i="46" s="1"/>
  <c r="U72" i="46" s="1"/>
  <c r="W24" i="46"/>
  <c r="X23" i="46"/>
  <c r="Z23" i="46" s="1"/>
  <c r="D74" i="46"/>
  <c r="E73" i="46"/>
  <c r="G73" i="46" s="1"/>
  <c r="AF157" i="44"/>
  <c r="AL157" i="44" s="1"/>
  <c r="AH156" i="44"/>
  <c r="AI156" i="44" s="1"/>
  <c r="Y158" i="44"/>
  <c r="AA157" i="44"/>
  <c r="AN155" i="44"/>
  <c r="H203" i="44" s="1"/>
  <c r="S203" i="44" s="1"/>
  <c r="AE158" i="44"/>
  <c r="AG157" i="44"/>
  <c r="AL156" i="44"/>
  <c r="AO154" i="44"/>
  <c r="I202" i="44" s="1"/>
  <c r="G202" i="44"/>
  <c r="R202" i="44" s="1"/>
  <c r="T202" i="44" s="1"/>
  <c r="V157" i="44"/>
  <c r="T158" i="44"/>
  <c r="AK156" i="44"/>
  <c r="U156" i="44"/>
  <c r="S157" i="44"/>
  <c r="Z158" i="44"/>
  <c r="AB157" i="44"/>
  <c r="AN156" i="44"/>
  <c r="H204" i="44" s="1"/>
  <c r="S204" i="44" s="1"/>
  <c r="AM155" i="44"/>
  <c r="W155" i="44"/>
  <c r="AC157" i="44" l="1"/>
  <c r="M25" i="46"/>
  <c r="O25" i="46" s="1"/>
  <c r="Q25" i="46" s="1"/>
  <c r="S25" i="46" s="1"/>
  <c r="O73" i="46"/>
  <c r="Q73" i="46" s="1"/>
  <c r="S73" i="46" s="1"/>
  <c r="U73" i="46" s="1"/>
  <c r="AA25" i="46"/>
  <c r="Y26" i="46"/>
  <c r="E74" i="46"/>
  <c r="G74" i="46" s="1"/>
  <c r="D75" i="46"/>
  <c r="AG24" i="46"/>
  <c r="AI24" i="46" s="1"/>
  <c r="AK24" i="46" s="1"/>
  <c r="AM24" i="46" s="1"/>
  <c r="M24" i="46"/>
  <c r="O24" i="46" s="1"/>
  <c r="Q24" i="46" s="1"/>
  <c r="S24" i="46" s="1"/>
  <c r="W25" i="46"/>
  <c r="X24" i="46"/>
  <c r="Z24" i="46" s="1"/>
  <c r="H74" i="46"/>
  <c r="F75" i="46"/>
  <c r="P73" i="46"/>
  <c r="R73" i="46" s="1"/>
  <c r="T73" i="46" s="1"/>
  <c r="V73" i="46" s="1"/>
  <c r="H25" i="46"/>
  <c r="F26" i="46"/>
  <c r="E26" i="46" s="1"/>
  <c r="G26" i="46" s="1"/>
  <c r="AF23" i="46"/>
  <c r="AH23" i="46" s="1"/>
  <c r="AJ23" i="46" s="1"/>
  <c r="AL23" i="46" s="1"/>
  <c r="D27" i="46"/>
  <c r="N24" i="46"/>
  <c r="P24" i="46" s="1"/>
  <c r="R24" i="46" s="1"/>
  <c r="T24" i="46" s="1"/>
  <c r="AM156" i="44"/>
  <c r="W156" i="44"/>
  <c r="AG158" i="44"/>
  <c r="AE159" i="44"/>
  <c r="AO155" i="44"/>
  <c r="I203" i="44" s="1"/>
  <c r="G203" i="44"/>
  <c r="R203" i="44" s="1"/>
  <c r="T203" i="44" s="1"/>
  <c r="T159" i="44"/>
  <c r="V158" i="44"/>
  <c r="AA158" i="44"/>
  <c r="Y159" i="44"/>
  <c r="AB158" i="44"/>
  <c r="Z159" i="44"/>
  <c r="AK157" i="44"/>
  <c r="U157" i="44"/>
  <c r="S158" i="44"/>
  <c r="AH157" i="44"/>
  <c r="AI157" i="44" s="1"/>
  <c r="AF158" i="44"/>
  <c r="AL158" i="44" s="1"/>
  <c r="M26" i="46" l="1"/>
  <c r="O26" i="46" s="1"/>
  <c r="Q26" i="46" s="1"/>
  <c r="S26" i="46" s="1"/>
  <c r="F76" i="46"/>
  <c r="H75" i="46"/>
  <c r="E75" i="46"/>
  <c r="G75" i="46" s="1"/>
  <c r="D76" i="46"/>
  <c r="N25" i="46"/>
  <c r="P25" i="46" s="1"/>
  <c r="R25" i="46" s="1"/>
  <c r="T25" i="46" s="1"/>
  <c r="D28" i="46"/>
  <c r="P74" i="46"/>
  <c r="R74" i="46" s="1"/>
  <c r="T74" i="46" s="1"/>
  <c r="V74" i="46" s="1"/>
  <c r="Y27" i="46"/>
  <c r="AA26" i="46"/>
  <c r="X25" i="46"/>
  <c r="Z25" i="46" s="1"/>
  <c r="W26" i="46"/>
  <c r="AG25" i="46"/>
  <c r="AI25" i="46" s="1"/>
  <c r="AK25" i="46" s="1"/>
  <c r="AM25" i="46" s="1"/>
  <c r="O74" i="46"/>
  <c r="Q74" i="46" s="1"/>
  <c r="S74" i="46" s="1"/>
  <c r="U74" i="46" s="1"/>
  <c r="AF24" i="46"/>
  <c r="AH24" i="46" s="1"/>
  <c r="AJ24" i="46" s="1"/>
  <c r="AL24" i="46" s="1"/>
  <c r="F27" i="46"/>
  <c r="E27" i="46" s="1"/>
  <c r="G27" i="46" s="1"/>
  <c r="H26" i="46"/>
  <c r="AA159" i="44"/>
  <c r="Y160" i="44"/>
  <c r="AG159" i="44"/>
  <c r="AE160" i="44"/>
  <c r="T160" i="44"/>
  <c r="AL159" i="44"/>
  <c r="V159" i="44"/>
  <c r="AN157" i="44"/>
  <c r="H205" i="44" s="1"/>
  <c r="S205" i="44" s="1"/>
  <c r="Z160" i="44"/>
  <c r="AB159" i="44"/>
  <c r="AC158" i="44"/>
  <c r="AK158" i="44"/>
  <c r="S159" i="44"/>
  <c r="U158" i="44"/>
  <c r="AH158" i="44"/>
  <c r="AI158" i="44" s="1"/>
  <c r="AF159" i="44"/>
  <c r="AM157" i="44"/>
  <c r="W157" i="44"/>
  <c r="AO156" i="44"/>
  <c r="I204" i="44" s="1"/>
  <c r="G204" i="44"/>
  <c r="R204" i="44" s="1"/>
  <c r="T204" i="44" s="1"/>
  <c r="M27" i="46" l="1"/>
  <c r="O27" i="46" s="1"/>
  <c r="Q27" i="46" s="1"/>
  <c r="S27" i="46" s="1"/>
  <c r="W27" i="46"/>
  <c r="X26" i="46"/>
  <c r="Z26" i="46" s="1"/>
  <c r="E76" i="46"/>
  <c r="G76" i="46" s="1"/>
  <c r="D77" i="46"/>
  <c r="N26" i="46"/>
  <c r="P26" i="46" s="1"/>
  <c r="R26" i="46" s="1"/>
  <c r="T26" i="46" s="1"/>
  <c r="Y28" i="46"/>
  <c r="AA27" i="46"/>
  <c r="O75" i="46"/>
  <c r="Q75" i="46" s="1"/>
  <c r="S75" i="46" s="1"/>
  <c r="U75" i="46" s="1"/>
  <c r="P75" i="46"/>
  <c r="R75" i="46" s="1"/>
  <c r="T75" i="46" s="1"/>
  <c r="V75" i="46" s="1"/>
  <c r="F77" i="46"/>
  <c r="H76" i="46"/>
  <c r="AF25" i="46"/>
  <c r="AH25" i="46" s="1"/>
  <c r="AJ25" i="46" s="1"/>
  <c r="AL25" i="46" s="1"/>
  <c r="AG26" i="46"/>
  <c r="AI26" i="46" s="1"/>
  <c r="AK26" i="46" s="1"/>
  <c r="AM26" i="46" s="1"/>
  <c r="F28" i="46"/>
  <c r="E28" i="46" s="1"/>
  <c r="G28" i="46" s="1"/>
  <c r="H27" i="46"/>
  <c r="D29" i="46"/>
  <c r="AK159" i="44"/>
  <c r="U159" i="44"/>
  <c r="S160" i="44"/>
  <c r="V160" i="44"/>
  <c r="T161" i="44"/>
  <c r="AG160" i="44"/>
  <c r="AE161" i="44"/>
  <c r="AM158" i="44"/>
  <c r="W158" i="44"/>
  <c r="AN158" i="44"/>
  <c r="H206" i="44" s="1"/>
  <c r="S206" i="44" s="1"/>
  <c r="AO157" i="44"/>
  <c r="I205" i="44" s="1"/>
  <c r="G205" i="44"/>
  <c r="R205" i="44" s="1"/>
  <c r="T205" i="44" s="1"/>
  <c r="Z161" i="44"/>
  <c r="AB160" i="44"/>
  <c r="Y161" i="44"/>
  <c r="AA160" i="44"/>
  <c r="AF160" i="44"/>
  <c r="AL160" i="44" s="1"/>
  <c r="AH159" i="44"/>
  <c r="AI159" i="44" s="1"/>
  <c r="AC159" i="44"/>
  <c r="D12" i="38"/>
  <c r="D13" i="38"/>
  <c r="D14" i="38"/>
  <c r="D15" i="38"/>
  <c r="D16" i="38"/>
  <c r="D17" i="38"/>
  <c r="D18" i="38"/>
  <c r="D19" i="38"/>
  <c r="B11" i="38"/>
  <c r="D11" i="38" s="1"/>
  <c r="A12" i="38"/>
  <c r="A13" i="38" s="1"/>
  <c r="A14" i="38" s="1"/>
  <c r="A15" i="38" s="1"/>
  <c r="A16" i="38" s="1"/>
  <c r="A17" i="38" s="1"/>
  <c r="A18" i="38" s="1"/>
  <c r="A19" i="38" s="1"/>
  <c r="AC160" i="44" l="1"/>
  <c r="N27" i="46"/>
  <c r="P27" i="46" s="1"/>
  <c r="R27" i="46" s="1"/>
  <c r="T27" i="46" s="1"/>
  <c r="D78" i="46"/>
  <c r="E77" i="46"/>
  <c r="G77" i="46" s="1"/>
  <c r="M28" i="46"/>
  <c r="O28" i="46" s="1"/>
  <c r="Q28" i="46" s="1"/>
  <c r="S28" i="46" s="1"/>
  <c r="F29" i="46"/>
  <c r="H28" i="46"/>
  <c r="O76" i="46"/>
  <c r="Q76" i="46" s="1"/>
  <c r="S76" i="46" s="1"/>
  <c r="U76" i="46" s="1"/>
  <c r="P76" i="46"/>
  <c r="R76" i="46" s="1"/>
  <c r="T76" i="46" s="1"/>
  <c r="V76" i="46" s="1"/>
  <c r="AF26" i="46"/>
  <c r="AH26" i="46" s="1"/>
  <c r="AJ26" i="46" s="1"/>
  <c r="AL26" i="46" s="1"/>
  <c r="H77" i="46"/>
  <c r="F78" i="46"/>
  <c r="W28" i="46"/>
  <c r="X27" i="46"/>
  <c r="Z27" i="46" s="1"/>
  <c r="D30" i="46"/>
  <c r="AG27" i="46"/>
  <c r="AI27" i="46" s="1"/>
  <c r="AK27" i="46" s="1"/>
  <c r="AM27" i="46" s="1"/>
  <c r="Y29" i="46"/>
  <c r="AA28" i="46"/>
  <c r="AF161" i="44"/>
  <c r="AH160" i="44"/>
  <c r="AI160" i="44" s="1"/>
  <c r="Z162" i="44"/>
  <c r="AB161" i="44"/>
  <c r="AO158" i="44"/>
  <c r="I206" i="44" s="1"/>
  <c r="G206" i="44"/>
  <c r="R206" i="44" s="1"/>
  <c r="T206" i="44" s="1"/>
  <c r="V161" i="44"/>
  <c r="T162" i="44"/>
  <c r="AN159" i="44"/>
  <c r="H207" i="44" s="1"/>
  <c r="S207" i="44" s="1"/>
  <c r="AM159" i="44"/>
  <c r="W159" i="44"/>
  <c r="AK160" i="44"/>
  <c r="S161" i="44"/>
  <c r="U160" i="44"/>
  <c r="Y162" i="44"/>
  <c r="AA161" i="44"/>
  <c r="AE162" i="44"/>
  <c r="AG161" i="44"/>
  <c r="AN160" i="44" l="1"/>
  <c r="H208" i="44" s="1"/>
  <c r="S208" i="44" s="1"/>
  <c r="D31" i="46"/>
  <c r="E78" i="46"/>
  <c r="G78" i="46" s="1"/>
  <c r="D79" i="46"/>
  <c r="X28" i="46"/>
  <c r="Z28" i="46" s="1"/>
  <c r="W29" i="46"/>
  <c r="AG28" i="46"/>
  <c r="AI28" i="46" s="1"/>
  <c r="AK28" i="46" s="1"/>
  <c r="AM28" i="46" s="1"/>
  <c r="H78" i="46"/>
  <c r="F79" i="46"/>
  <c r="N28" i="46"/>
  <c r="P28" i="46" s="1"/>
  <c r="R28" i="46" s="1"/>
  <c r="T28" i="46" s="1"/>
  <c r="AF27" i="46"/>
  <c r="AH27" i="46" s="1"/>
  <c r="AJ27" i="46" s="1"/>
  <c r="AL27" i="46" s="1"/>
  <c r="Y30" i="46"/>
  <c r="AA29" i="46"/>
  <c r="P77" i="46"/>
  <c r="R77" i="46" s="1"/>
  <c r="T77" i="46" s="1"/>
  <c r="V77" i="46" s="1"/>
  <c r="H29" i="46"/>
  <c r="F30" i="46"/>
  <c r="E30" i="46" s="1"/>
  <c r="G30" i="46" s="1"/>
  <c r="E29" i="46"/>
  <c r="G29" i="46" s="1"/>
  <c r="O77" i="46"/>
  <c r="Q77" i="46" s="1"/>
  <c r="S77" i="46" s="1"/>
  <c r="U77" i="46" s="1"/>
  <c r="AO159" i="44"/>
  <c r="I207" i="44" s="1"/>
  <c r="G207" i="44"/>
  <c r="R207" i="44" s="1"/>
  <c r="T207" i="44" s="1"/>
  <c r="AE163" i="44"/>
  <c r="AG162" i="44"/>
  <c r="AH161" i="44"/>
  <c r="AI161" i="44" s="1"/>
  <c r="AF162" i="44"/>
  <c r="AK161" i="44"/>
  <c r="U161" i="44"/>
  <c r="S162" i="44"/>
  <c r="AB162" i="44"/>
  <c r="Z163" i="44"/>
  <c r="AC161" i="44"/>
  <c r="AL161" i="44"/>
  <c r="AA162" i="44"/>
  <c r="Y163" i="44"/>
  <c r="T163" i="44"/>
  <c r="V162" i="44"/>
  <c r="AM160" i="44"/>
  <c r="W160" i="44"/>
  <c r="AC162" i="44" l="1"/>
  <c r="AN161" i="44"/>
  <c r="H209" i="44" s="1"/>
  <c r="S209" i="44" s="1"/>
  <c r="N29" i="46"/>
  <c r="P29" i="46" s="1"/>
  <c r="R29" i="46" s="1"/>
  <c r="T29" i="46" s="1"/>
  <c r="D32" i="46"/>
  <c r="P78" i="46"/>
  <c r="R78" i="46" s="1"/>
  <c r="T78" i="46" s="1"/>
  <c r="V78" i="46" s="1"/>
  <c r="M30" i="46"/>
  <c r="O30" i="46" s="1"/>
  <c r="Q30" i="46" s="1"/>
  <c r="S30" i="46" s="1"/>
  <c r="AG29" i="46"/>
  <c r="AI29" i="46" s="1"/>
  <c r="AK29" i="46" s="1"/>
  <c r="AM29" i="46" s="1"/>
  <c r="O78" i="46"/>
  <c r="Q78" i="46" s="1"/>
  <c r="S78" i="46" s="1"/>
  <c r="U78" i="46" s="1"/>
  <c r="F80" i="46"/>
  <c r="H79" i="46"/>
  <c r="M29" i="46"/>
  <c r="O29" i="46" s="1"/>
  <c r="Q29" i="46" s="1"/>
  <c r="S29" i="46" s="1"/>
  <c r="AF28" i="46"/>
  <c r="AH28" i="46" s="1"/>
  <c r="AJ28" i="46" s="1"/>
  <c r="AL28" i="46" s="1"/>
  <c r="Y31" i="46"/>
  <c r="AA30" i="46"/>
  <c r="W30" i="46"/>
  <c r="X29" i="46"/>
  <c r="Z29" i="46" s="1"/>
  <c r="F31" i="46"/>
  <c r="H30" i="46"/>
  <c r="E79" i="46"/>
  <c r="G79" i="46" s="1"/>
  <c r="D80" i="46"/>
  <c r="AA163" i="44"/>
  <c r="Y164" i="44"/>
  <c r="AE164" i="44"/>
  <c r="AG163" i="44"/>
  <c r="AH162" i="44"/>
  <c r="AI162" i="44" s="1"/>
  <c r="AF163" i="44"/>
  <c r="AO160" i="44"/>
  <c r="I208" i="44" s="1"/>
  <c r="G208" i="44"/>
  <c r="R208" i="44" s="1"/>
  <c r="T208" i="44" s="1"/>
  <c r="AB163" i="44"/>
  <c r="Z164" i="44"/>
  <c r="AL162" i="44"/>
  <c r="AK162" i="44"/>
  <c r="S163" i="44"/>
  <c r="U162" i="44"/>
  <c r="T164" i="44"/>
  <c r="V163" i="44"/>
  <c r="AM161" i="44"/>
  <c r="W161" i="44"/>
  <c r="F32" i="46" l="1"/>
  <c r="E32" i="46" s="1"/>
  <c r="G32" i="46" s="1"/>
  <c r="H31" i="46"/>
  <c r="AF29" i="46"/>
  <c r="AH29" i="46" s="1"/>
  <c r="AJ29" i="46" s="1"/>
  <c r="AL29" i="46" s="1"/>
  <c r="P79" i="46"/>
  <c r="R79" i="46" s="1"/>
  <c r="T79" i="46" s="1"/>
  <c r="V79" i="46" s="1"/>
  <c r="X30" i="46"/>
  <c r="Z30" i="46" s="1"/>
  <c r="W31" i="46"/>
  <c r="F81" i="46"/>
  <c r="H80" i="46"/>
  <c r="N30" i="46"/>
  <c r="P30" i="46" s="1"/>
  <c r="R30" i="46" s="1"/>
  <c r="T30" i="46" s="1"/>
  <c r="AG30" i="46"/>
  <c r="AI30" i="46" s="1"/>
  <c r="AK30" i="46" s="1"/>
  <c r="AM30" i="46" s="1"/>
  <c r="E31" i="46"/>
  <c r="G31" i="46" s="1"/>
  <c r="Y32" i="46"/>
  <c r="AA31" i="46"/>
  <c r="D33" i="46"/>
  <c r="D81" i="46"/>
  <c r="E80" i="46"/>
  <c r="G80" i="46" s="1"/>
  <c r="O79" i="46"/>
  <c r="Q79" i="46" s="1"/>
  <c r="S79" i="46" s="1"/>
  <c r="U79" i="46" s="1"/>
  <c r="AO161" i="44"/>
  <c r="I209" i="44" s="1"/>
  <c r="G209" i="44"/>
  <c r="R209" i="44" s="1"/>
  <c r="T209" i="44" s="1"/>
  <c r="AK163" i="44"/>
  <c r="U163" i="44"/>
  <c r="S164" i="44"/>
  <c r="AB164" i="44"/>
  <c r="Z165" i="44"/>
  <c r="W162" i="44"/>
  <c r="AM162" i="44"/>
  <c r="AF164" i="44"/>
  <c r="AL164" i="44" s="1"/>
  <c r="AH163" i="44"/>
  <c r="AI163" i="44" s="1"/>
  <c r="AN162" i="44"/>
  <c r="H210" i="44" s="1"/>
  <c r="S210" i="44" s="1"/>
  <c r="AE165" i="44"/>
  <c r="AG164" i="44"/>
  <c r="Y165" i="44"/>
  <c r="AA164" i="44"/>
  <c r="AL163" i="44"/>
  <c r="V164" i="44"/>
  <c r="T165" i="44"/>
  <c r="AC163" i="44"/>
  <c r="AN163" i="44" l="1"/>
  <c r="H211" i="44" s="1"/>
  <c r="S211" i="44" s="1"/>
  <c r="AF30" i="46"/>
  <c r="AH30" i="46" s="1"/>
  <c r="AJ30" i="46" s="1"/>
  <c r="AL30" i="46" s="1"/>
  <c r="M31" i="46"/>
  <c r="O31" i="46" s="1"/>
  <c r="Q31" i="46" s="1"/>
  <c r="S31" i="46" s="1"/>
  <c r="O80" i="46"/>
  <c r="Q80" i="46" s="1"/>
  <c r="S80" i="46" s="1"/>
  <c r="U80" i="46" s="1"/>
  <c r="D82" i="46"/>
  <c r="E81" i="46"/>
  <c r="G81" i="46" s="1"/>
  <c r="W32" i="46"/>
  <c r="X31" i="46"/>
  <c r="Z31" i="46" s="1"/>
  <c r="Y33" i="46"/>
  <c r="AA32" i="46"/>
  <c r="M32" i="46"/>
  <c r="O32" i="46" s="1"/>
  <c r="Q32" i="46" s="1"/>
  <c r="S32" i="46" s="1"/>
  <c r="D34" i="46"/>
  <c r="P80" i="46"/>
  <c r="R80" i="46" s="1"/>
  <c r="T80" i="46" s="1"/>
  <c r="V80" i="46" s="1"/>
  <c r="N31" i="46"/>
  <c r="P31" i="46" s="1"/>
  <c r="AG31" i="46"/>
  <c r="AI31" i="46" s="1"/>
  <c r="AK31" i="46" s="1"/>
  <c r="AM31" i="46" s="1"/>
  <c r="H81" i="46"/>
  <c r="F82" i="46"/>
  <c r="F33" i="46"/>
  <c r="E33" i="46" s="1"/>
  <c r="G33" i="46" s="1"/>
  <c r="H32" i="46"/>
  <c r="Y166" i="44"/>
  <c r="AA165" i="44"/>
  <c r="AE166" i="44"/>
  <c r="AG165" i="44"/>
  <c r="AM163" i="44"/>
  <c r="W163" i="44"/>
  <c r="AF165" i="44"/>
  <c r="AH164" i="44"/>
  <c r="AI164" i="44" s="1"/>
  <c r="AB165" i="44"/>
  <c r="Z166" i="44"/>
  <c r="V165" i="44"/>
  <c r="T166" i="44"/>
  <c r="AK164" i="44"/>
  <c r="U164" i="44"/>
  <c r="S165" i="44"/>
  <c r="AO162" i="44"/>
  <c r="I210" i="44" s="1"/>
  <c r="G210" i="44"/>
  <c r="R210" i="44" s="1"/>
  <c r="T210" i="44" s="1"/>
  <c r="AC164" i="44"/>
  <c r="AN164" i="44" l="1"/>
  <c r="H212" i="44" s="1"/>
  <c r="S212" i="44" s="1"/>
  <c r="R31" i="46"/>
  <c r="T31" i="46" s="1"/>
  <c r="O81" i="46"/>
  <c r="Q81" i="46" s="1"/>
  <c r="S81" i="46" s="1"/>
  <c r="U81" i="46" s="1"/>
  <c r="M33" i="46"/>
  <c r="O33" i="46" s="1"/>
  <c r="Q33" i="46" s="1"/>
  <c r="S33" i="46" s="1"/>
  <c r="E82" i="46"/>
  <c r="G82" i="46" s="1"/>
  <c r="D83" i="46"/>
  <c r="P81" i="46"/>
  <c r="R81" i="46" s="1"/>
  <c r="T81" i="46" s="1"/>
  <c r="V81" i="46" s="1"/>
  <c r="AG32" i="46"/>
  <c r="AI32" i="46" s="1"/>
  <c r="AK32" i="46" s="1"/>
  <c r="AM32" i="46" s="1"/>
  <c r="H82" i="46"/>
  <c r="F83" i="46"/>
  <c r="D35" i="46"/>
  <c r="Y34" i="46"/>
  <c r="AA33" i="46"/>
  <c r="N32" i="46"/>
  <c r="P32" i="46" s="1"/>
  <c r="R32" i="46" s="1"/>
  <c r="T32" i="46" s="1"/>
  <c r="AF31" i="46"/>
  <c r="AH31" i="46" s="1"/>
  <c r="AJ31" i="46" s="1"/>
  <c r="AL31" i="46" s="1"/>
  <c r="F34" i="46"/>
  <c r="E34" i="46" s="1"/>
  <c r="G34" i="46" s="1"/>
  <c r="H33" i="46"/>
  <c r="X32" i="46"/>
  <c r="Z32" i="46" s="1"/>
  <c r="W33" i="46"/>
  <c r="AG166" i="44"/>
  <c r="AE167" i="44"/>
  <c r="AA166" i="44"/>
  <c r="Y167" i="44"/>
  <c r="AO163" i="44"/>
  <c r="I211" i="44" s="1"/>
  <c r="G211" i="44"/>
  <c r="R211" i="44" s="1"/>
  <c r="T211" i="44" s="1"/>
  <c r="AM164" i="44"/>
  <c r="W164" i="44"/>
  <c r="AH165" i="44"/>
  <c r="AN165" i="44" s="1"/>
  <c r="H213" i="44" s="1"/>
  <c r="S213" i="44" s="1"/>
  <c r="AF166" i="44"/>
  <c r="AL166" i="44" s="1"/>
  <c r="AL165" i="44"/>
  <c r="T167" i="44"/>
  <c r="V166" i="44"/>
  <c r="Z167" i="44"/>
  <c r="AB166" i="44"/>
  <c r="U165" i="44"/>
  <c r="S166" i="44"/>
  <c r="AK165" i="44"/>
  <c r="AC165" i="44"/>
  <c r="AI165" i="44" l="1"/>
  <c r="M34" i="46"/>
  <c r="O34" i="46" s="1"/>
  <c r="Q34" i="46" s="1"/>
  <c r="S34" i="46" s="1"/>
  <c r="AG33" i="46"/>
  <c r="AI33" i="46" s="1"/>
  <c r="AK33" i="46" s="1"/>
  <c r="AM33" i="46" s="1"/>
  <c r="N33" i="46"/>
  <c r="P33" i="46" s="1"/>
  <c r="R33" i="46" s="1"/>
  <c r="T33" i="46" s="1"/>
  <c r="E83" i="46"/>
  <c r="G83" i="46" s="1"/>
  <c r="D84" i="46"/>
  <c r="W34" i="46"/>
  <c r="X33" i="46"/>
  <c r="Z33" i="46" s="1"/>
  <c r="F35" i="46"/>
  <c r="E35" i="46" s="1"/>
  <c r="G35" i="46" s="1"/>
  <c r="H34" i="46"/>
  <c r="D36" i="46"/>
  <c r="O82" i="46"/>
  <c r="Q82" i="46" s="1"/>
  <c r="S82" i="46" s="1"/>
  <c r="U82" i="46" s="1"/>
  <c r="AF32" i="46"/>
  <c r="AH32" i="46" s="1"/>
  <c r="AJ32" i="46" s="1"/>
  <c r="AL32" i="46" s="1"/>
  <c r="F84" i="46"/>
  <c r="H83" i="46"/>
  <c r="P82" i="46"/>
  <c r="R82" i="46" s="1"/>
  <c r="T82" i="46" s="1"/>
  <c r="V82" i="46" s="1"/>
  <c r="Y35" i="46"/>
  <c r="AA34" i="46"/>
  <c r="AH166" i="44"/>
  <c r="AN166" i="44" s="1"/>
  <c r="H214" i="44" s="1"/>
  <c r="S214" i="44" s="1"/>
  <c r="AF167" i="44"/>
  <c r="AL167" i="44" s="1"/>
  <c r="AA167" i="44"/>
  <c r="Y168" i="44"/>
  <c r="AM165" i="44"/>
  <c r="W165" i="44"/>
  <c r="AC166" i="44"/>
  <c r="AG167" i="44"/>
  <c r="AE168" i="44"/>
  <c r="T168" i="44"/>
  <c r="V167" i="44"/>
  <c r="AK166" i="44"/>
  <c r="S167" i="44"/>
  <c r="U166" i="44"/>
  <c r="Z168" i="44"/>
  <c r="AB167" i="44"/>
  <c r="AO164" i="44"/>
  <c r="I212" i="44" s="1"/>
  <c r="G212" i="44"/>
  <c r="R212" i="44" s="1"/>
  <c r="T212" i="44" s="1"/>
  <c r="AI166" i="44" l="1"/>
  <c r="AC167" i="44"/>
  <c r="AG34" i="46"/>
  <c r="AI34" i="46" s="1"/>
  <c r="AK34" i="46" s="1"/>
  <c r="AM34" i="46" s="1"/>
  <c r="E84" i="46"/>
  <c r="G84" i="46" s="1"/>
  <c r="D85" i="46"/>
  <c r="M35" i="46"/>
  <c r="O35" i="46" s="1"/>
  <c r="Q35" i="46" s="1"/>
  <c r="S35" i="46" s="1"/>
  <c r="D37" i="46"/>
  <c r="AA35" i="46"/>
  <c r="Y36" i="46"/>
  <c r="N34" i="46"/>
  <c r="P34" i="46" s="1"/>
  <c r="R34" i="46" s="1"/>
  <c r="T34" i="46" s="1"/>
  <c r="F85" i="46"/>
  <c r="H84" i="46"/>
  <c r="F36" i="46"/>
  <c r="H35" i="46"/>
  <c r="P83" i="46"/>
  <c r="R83" i="46" s="1"/>
  <c r="T83" i="46" s="1"/>
  <c r="V83" i="46" s="1"/>
  <c r="O83" i="46"/>
  <c r="Q83" i="46" s="1"/>
  <c r="S83" i="46" s="1"/>
  <c r="U83" i="46" s="1"/>
  <c r="AF33" i="46"/>
  <c r="AH33" i="46" s="1"/>
  <c r="AJ33" i="46" s="1"/>
  <c r="AL33" i="46" s="1"/>
  <c r="X34" i="46"/>
  <c r="Z34" i="46" s="1"/>
  <c r="W35" i="46"/>
  <c r="W166" i="44"/>
  <c r="AM166" i="44"/>
  <c r="AO165" i="44"/>
  <c r="I213" i="44" s="1"/>
  <c r="G213" i="44"/>
  <c r="R213" i="44" s="1"/>
  <c r="T213" i="44" s="1"/>
  <c r="Y169" i="44"/>
  <c r="AA168" i="44"/>
  <c r="V168" i="44"/>
  <c r="T169" i="44"/>
  <c r="AF168" i="44"/>
  <c r="AH167" i="44"/>
  <c r="AN167" i="44" s="1"/>
  <c r="H215" i="44" s="1"/>
  <c r="S215" i="44" s="1"/>
  <c r="AE169" i="44"/>
  <c r="AG168" i="44"/>
  <c r="AK167" i="44"/>
  <c r="S168" i="44"/>
  <c r="U167" i="44"/>
  <c r="AB168" i="44"/>
  <c r="Z169" i="44"/>
  <c r="AC168" i="44" l="1"/>
  <c r="AF34" i="46"/>
  <c r="AH34" i="46" s="1"/>
  <c r="AJ34" i="46" s="1"/>
  <c r="AL34" i="46" s="1"/>
  <c r="H36" i="46"/>
  <c r="F37" i="46"/>
  <c r="E37" i="46" s="1"/>
  <c r="G37" i="46" s="1"/>
  <c r="D38" i="46"/>
  <c r="D86" i="46"/>
  <c r="E85" i="46"/>
  <c r="G85" i="46" s="1"/>
  <c r="W36" i="46"/>
  <c r="X35" i="46"/>
  <c r="Z35" i="46" s="1"/>
  <c r="O84" i="46"/>
  <c r="Q84" i="46" s="1"/>
  <c r="S84" i="46" s="1"/>
  <c r="U84" i="46" s="1"/>
  <c r="N35" i="46"/>
  <c r="P35" i="46" s="1"/>
  <c r="R35" i="46" s="1"/>
  <c r="T35" i="46" s="1"/>
  <c r="H85" i="46"/>
  <c r="F86" i="46"/>
  <c r="E36" i="46"/>
  <c r="G36" i="46" s="1"/>
  <c r="P84" i="46"/>
  <c r="R84" i="46" s="1"/>
  <c r="T84" i="46" s="1"/>
  <c r="V84" i="46" s="1"/>
  <c r="Y37" i="46"/>
  <c r="AA36" i="46"/>
  <c r="AG35" i="46"/>
  <c r="AI35" i="46" s="1"/>
  <c r="AK35" i="46" s="1"/>
  <c r="AM35" i="46" s="1"/>
  <c r="AK168" i="44"/>
  <c r="S169" i="44"/>
  <c r="U168" i="44"/>
  <c r="AI167" i="44"/>
  <c r="AE170" i="44"/>
  <c r="AG169" i="44"/>
  <c r="Z170" i="44"/>
  <c r="AB169" i="44"/>
  <c r="T170" i="44"/>
  <c r="V169" i="44"/>
  <c r="AO166" i="44"/>
  <c r="I214" i="44" s="1"/>
  <c r="G214" i="44"/>
  <c r="R214" i="44" s="1"/>
  <c r="T214" i="44" s="1"/>
  <c r="Y170" i="44"/>
  <c r="AA169" i="44"/>
  <c r="AF169" i="44"/>
  <c r="AL169" i="44" s="1"/>
  <c r="AH168" i="44"/>
  <c r="AN168" i="44" s="1"/>
  <c r="H216" i="44" s="1"/>
  <c r="S216" i="44" s="1"/>
  <c r="AM167" i="44"/>
  <c r="W167" i="44"/>
  <c r="AL168" i="44"/>
  <c r="AC169" i="44" l="1"/>
  <c r="AI168" i="44"/>
  <c r="M37" i="46"/>
  <c r="O37" i="46" s="1"/>
  <c r="Q37" i="46" s="1"/>
  <c r="S37" i="46" s="1"/>
  <c r="O85" i="46"/>
  <c r="Q85" i="46" s="1"/>
  <c r="S85" i="46" s="1"/>
  <c r="U85" i="46" s="1"/>
  <c r="H86" i="46"/>
  <c r="F87" i="46"/>
  <c r="D39" i="46"/>
  <c r="F38" i="46"/>
  <c r="E38" i="46" s="1"/>
  <c r="G38" i="46" s="1"/>
  <c r="H37" i="46"/>
  <c r="P85" i="46"/>
  <c r="R85" i="46" s="1"/>
  <c r="T85" i="46" s="1"/>
  <c r="V85" i="46" s="1"/>
  <c r="Y38" i="46"/>
  <c r="AA37" i="46"/>
  <c r="N36" i="46"/>
  <c r="P36" i="46" s="1"/>
  <c r="R36" i="46" s="1"/>
  <c r="T36" i="46" s="1"/>
  <c r="E86" i="46"/>
  <c r="G86" i="46" s="1"/>
  <c r="D87" i="46"/>
  <c r="AG36" i="46"/>
  <c r="AI36" i="46" s="1"/>
  <c r="AK36" i="46" s="1"/>
  <c r="AM36" i="46" s="1"/>
  <c r="AF35" i="46"/>
  <c r="AH35" i="46" s="1"/>
  <c r="AJ35" i="46" s="1"/>
  <c r="AL35" i="46" s="1"/>
  <c r="M36" i="46"/>
  <c r="O36" i="46" s="1"/>
  <c r="Q36" i="46" s="1"/>
  <c r="S36" i="46" s="1"/>
  <c r="W37" i="46"/>
  <c r="X36" i="46"/>
  <c r="Z36" i="46" s="1"/>
  <c r="AB170" i="44"/>
  <c r="Z171" i="44"/>
  <c r="AG170" i="44"/>
  <c r="AE171" i="44"/>
  <c r="Y171" i="44"/>
  <c r="AA170" i="44"/>
  <c r="AM168" i="44"/>
  <c r="W168" i="44"/>
  <c r="AO167" i="44"/>
  <c r="I215" i="44" s="1"/>
  <c r="G215" i="44"/>
  <c r="R215" i="44" s="1"/>
  <c r="T215" i="44" s="1"/>
  <c r="AH169" i="44"/>
  <c r="AN169" i="44" s="1"/>
  <c r="H217" i="44" s="1"/>
  <c r="S217" i="44" s="1"/>
  <c r="AF170" i="44"/>
  <c r="AL170" i="44" s="1"/>
  <c r="T171" i="44"/>
  <c r="V170" i="44"/>
  <c r="AK169" i="44"/>
  <c r="U169" i="44"/>
  <c r="S170" i="44"/>
  <c r="AC170" i="44" l="1"/>
  <c r="M38" i="46"/>
  <c r="O38" i="46" s="1"/>
  <c r="Q38" i="46" s="1"/>
  <c r="S38" i="46" s="1"/>
  <c r="AG37" i="46"/>
  <c r="AI37" i="46" s="1"/>
  <c r="AK37" i="46" s="1"/>
  <c r="AM37" i="46" s="1"/>
  <c r="F88" i="46"/>
  <c r="H87" i="46"/>
  <c r="AA38" i="46"/>
  <c r="Y39" i="46"/>
  <c r="P86" i="46"/>
  <c r="R86" i="46" s="1"/>
  <c r="T86" i="46" s="1"/>
  <c r="V86" i="46" s="1"/>
  <c r="D40" i="46"/>
  <c r="AF36" i="46"/>
  <c r="AH36" i="46" s="1"/>
  <c r="AJ36" i="46" s="1"/>
  <c r="AL36" i="46" s="1"/>
  <c r="E87" i="46"/>
  <c r="G87" i="46" s="1"/>
  <c r="D88" i="46"/>
  <c r="N37" i="46"/>
  <c r="P37" i="46" s="1"/>
  <c r="R37" i="46" s="1"/>
  <c r="T37" i="46" s="1"/>
  <c r="X37" i="46"/>
  <c r="Z37" i="46" s="1"/>
  <c r="W38" i="46"/>
  <c r="O86" i="46"/>
  <c r="Q86" i="46" s="1"/>
  <c r="S86" i="46" s="1"/>
  <c r="U86" i="46" s="1"/>
  <c r="H38" i="46"/>
  <c r="F39" i="46"/>
  <c r="AO168" i="44"/>
  <c r="I216" i="44" s="1"/>
  <c r="G216" i="44"/>
  <c r="R216" i="44" s="1"/>
  <c r="T216" i="44" s="1"/>
  <c r="V171" i="44"/>
  <c r="T172" i="44"/>
  <c r="Y172" i="44"/>
  <c r="AA171" i="44"/>
  <c r="AC171" i="44" s="1"/>
  <c r="AE172" i="44"/>
  <c r="AG171" i="44"/>
  <c r="AF171" i="44"/>
  <c r="AH170" i="44"/>
  <c r="AI170" i="44" s="1"/>
  <c r="S171" i="44"/>
  <c r="U170" i="44"/>
  <c r="AK170" i="44"/>
  <c r="W169" i="44"/>
  <c r="AM169" i="44"/>
  <c r="Z172" i="44"/>
  <c r="AB171" i="44"/>
  <c r="AI169" i="44"/>
  <c r="AN170" i="44" l="1"/>
  <c r="H218" i="44" s="1"/>
  <c r="S218" i="44" s="1"/>
  <c r="D89" i="46"/>
  <c r="E88" i="46"/>
  <c r="G88" i="46" s="1"/>
  <c r="N38" i="46"/>
  <c r="P38" i="46" s="1"/>
  <c r="R38" i="46" s="1"/>
  <c r="T38" i="46" s="1"/>
  <c r="AG38" i="46"/>
  <c r="AI38" i="46" s="1"/>
  <c r="AK38" i="46" s="1"/>
  <c r="AM38" i="46" s="1"/>
  <c r="Y40" i="46"/>
  <c r="AA39" i="46"/>
  <c r="P87" i="46"/>
  <c r="R87" i="46" s="1"/>
  <c r="T87" i="46" s="1"/>
  <c r="V87" i="46" s="1"/>
  <c r="D41" i="46"/>
  <c r="O87" i="46"/>
  <c r="Q87" i="46" s="1"/>
  <c r="S87" i="46" s="1"/>
  <c r="U87" i="46" s="1"/>
  <c r="F89" i="46"/>
  <c r="H88" i="46"/>
  <c r="F40" i="46"/>
  <c r="E40" i="46" s="1"/>
  <c r="G40" i="46" s="1"/>
  <c r="H39" i="46"/>
  <c r="X38" i="46"/>
  <c r="Z38" i="46" s="1"/>
  <c r="W39" i="46"/>
  <c r="E39" i="46"/>
  <c r="G39" i="46" s="1"/>
  <c r="AF37" i="46"/>
  <c r="AH37" i="46" s="1"/>
  <c r="AJ37" i="46" s="1"/>
  <c r="AL37" i="46" s="1"/>
  <c r="AH171" i="44"/>
  <c r="AI171" i="44" s="1"/>
  <c r="AF172" i="44"/>
  <c r="AO169" i="44"/>
  <c r="I217" i="44" s="1"/>
  <c r="G217" i="44"/>
  <c r="R217" i="44" s="1"/>
  <c r="T217" i="44" s="1"/>
  <c r="AM170" i="44"/>
  <c r="W170" i="44"/>
  <c r="T173" i="44"/>
  <c r="V172" i="44"/>
  <c r="AL172" i="44"/>
  <c r="AE173" i="44"/>
  <c r="AG172" i="44"/>
  <c r="AA172" i="44"/>
  <c r="Y173" i="44"/>
  <c r="AL171" i="44"/>
  <c r="U171" i="44"/>
  <c r="AK171" i="44"/>
  <c r="S172" i="44"/>
  <c r="Z173" i="44"/>
  <c r="AB172" i="44"/>
  <c r="AN171" i="44" l="1"/>
  <c r="H219" i="44" s="1"/>
  <c r="S219" i="44" s="1"/>
  <c r="AC172" i="44"/>
  <c r="AF38" i="46"/>
  <c r="AH38" i="46" s="1"/>
  <c r="AJ38" i="46" s="1"/>
  <c r="AL38" i="46" s="1"/>
  <c r="N39" i="46"/>
  <c r="P39" i="46" s="1"/>
  <c r="R39" i="46" s="1"/>
  <c r="T39" i="46" s="1"/>
  <c r="AG39" i="46"/>
  <c r="AI39" i="46" s="1"/>
  <c r="AK39" i="46" s="1"/>
  <c r="AM39" i="46" s="1"/>
  <c r="H89" i="46"/>
  <c r="F90" i="46"/>
  <c r="Y41" i="46"/>
  <c r="AA40" i="46"/>
  <c r="P88" i="46"/>
  <c r="R88" i="46" s="1"/>
  <c r="T88" i="46" s="1"/>
  <c r="V88" i="46" s="1"/>
  <c r="M40" i="46"/>
  <c r="O40" i="46" s="1"/>
  <c r="Q40" i="46" s="1"/>
  <c r="S40" i="46" s="1"/>
  <c r="M39" i="46"/>
  <c r="O39" i="46" s="1"/>
  <c r="Q39" i="46" s="1"/>
  <c r="S39" i="46" s="1"/>
  <c r="X39" i="46"/>
  <c r="Z39" i="46" s="1"/>
  <c r="W40" i="46"/>
  <c r="D42" i="46"/>
  <c r="O88" i="46"/>
  <c r="Q88" i="46" s="1"/>
  <c r="S88" i="46" s="1"/>
  <c r="U88" i="46" s="1"/>
  <c r="H40" i="46"/>
  <c r="F41" i="46"/>
  <c r="E41" i="46" s="1"/>
  <c r="G41" i="46" s="1"/>
  <c r="D90" i="46"/>
  <c r="E89" i="46"/>
  <c r="G89" i="46" s="1"/>
  <c r="T174" i="44"/>
  <c r="V173" i="44"/>
  <c r="AA173" i="44"/>
  <c r="Y174" i="44"/>
  <c r="AE174" i="44"/>
  <c r="AG173" i="44"/>
  <c r="AK172" i="44"/>
  <c r="S173" i="44"/>
  <c r="U172" i="44"/>
  <c r="AH172" i="44"/>
  <c r="AI172" i="44" s="1"/>
  <c r="AF173" i="44"/>
  <c r="AM171" i="44"/>
  <c r="W171" i="44"/>
  <c r="AO170" i="44"/>
  <c r="I218" i="44" s="1"/>
  <c r="G218" i="44"/>
  <c r="R218" i="44" s="1"/>
  <c r="T218" i="44" s="1"/>
  <c r="AB173" i="44"/>
  <c r="Z174" i="44"/>
  <c r="AN172" i="44"/>
  <c r="H220" i="44" s="1"/>
  <c r="S220" i="44" s="1"/>
  <c r="E6" i="27"/>
  <c r="E7" i="27" s="1"/>
  <c r="E8" i="27" s="1"/>
  <c r="E9" i="27" s="1"/>
  <c r="E10" i="27" s="1"/>
  <c r="E11" i="27" s="1"/>
  <c r="E12" i="27" s="1"/>
  <c r="E13" i="27" s="1"/>
  <c r="E14" i="27" s="1"/>
  <c r="E15" i="27" s="1"/>
  <c r="E16" i="27" s="1"/>
  <c r="E17" i="27" s="1"/>
  <c r="E18" i="27" s="1"/>
  <c r="E19" i="27" s="1"/>
  <c r="E20" i="27" l="1"/>
  <c r="E21" i="27" s="1"/>
  <c r="E22" i="27" s="1"/>
  <c r="E23" i="27" s="1"/>
  <c r="E24" i="27" s="1"/>
  <c r="E25" i="27" s="1"/>
  <c r="E26" i="27" s="1"/>
  <c r="E27" i="27" s="1"/>
  <c r="E28" i="27" s="1"/>
  <c r="E29" i="27" s="1"/>
  <c r="E30" i="27" s="1"/>
  <c r="E31" i="27" s="1"/>
  <c r="E32" i="27" s="1"/>
  <c r="E33" i="27" s="1"/>
  <c r="E34" i="27" s="1"/>
  <c r="E35" i="27" s="1"/>
  <c r="E36" i="27" s="1"/>
  <c r="E37" i="27" s="1"/>
  <c r="E38" i="27" s="1"/>
  <c r="E39" i="27" s="1"/>
  <c r="M41" i="46"/>
  <c r="O41" i="46" s="1"/>
  <c r="Q41" i="46" s="1"/>
  <c r="S41" i="46" s="1"/>
  <c r="H90" i="46"/>
  <c r="F91" i="46"/>
  <c r="P89" i="46"/>
  <c r="R89" i="46" s="1"/>
  <c r="T89" i="46" s="1"/>
  <c r="V89" i="46" s="1"/>
  <c r="D43" i="46"/>
  <c r="F42" i="46"/>
  <c r="E42" i="46" s="1"/>
  <c r="G42" i="46" s="1"/>
  <c r="H41" i="46"/>
  <c r="N40" i="46"/>
  <c r="P40" i="46" s="1"/>
  <c r="R40" i="46" s="1"/>
  <c r="T40" i="46" s="1"/>
  <c r="O89" i="46"/>
  <c r="Q89" i="46" s="1"/>
  <c r="S89" i="46" s="1"/>
  <c r="U89" i="46" s="1"/>
  <c r="W41" i="46"/>
  <c r="X40" i="46"/>
  <c r="Z40" i="46" s="1"/>
  <c r="AG40" i="46"/>
  <c r="AI40" i="46" s="1"/>
  <c r="AK40" i="46" s="1"/>
  <c r="AM40" i="46" s="1"/>
  <c r="E90" i="46"/>
  <c r="G90" i="46" s="1"/>
  <c r="D91" i="46"/>
  <c r="AF39" i="46"/>
  <c r="AH39" i="46" s="1"/>
  <c r="AJ39" i="46" s="1"/>
  <c r="AL39" i="46" s="1"/>
  <c r="AA41" i="46"/>
  <c r="Y42" i="46"/>
  <c r="Y175" i="44"/>
  <c r="AA175" i="44" s="1"/>
  <c r="AA174" i="44"/>
  <c r="AC173" i="44"/>
  <c r="AG174" i="44"/>
  <c r="AE175" i="44"/>
  <c r="AG175" i="44" s="1"/>
  <c r="Z175" i="44"/>
  <c r="AB175" i="44" s="1"/>
  <c r="AB174" i="44"/>
  <c r="W172" i="44"/>
  <c r="AM172" i="44"/>
  <c r="AO171" i="44"/>
  <c r="I219" i="44" s="1"/>
  <c r="G219" i="44"/>
  <c r="R219" i="44" s="1"/>
  <c r="T219" i="44" s="1"/>
  <c r="AF174" i="44"/>
  <c r="AL174" i="44" s="1"/>
  <c r="AH173" i="44"/>
  <c r="AI173" i="44" s="1"/>
  <c r="U173" i="44"/>
  <c r="AK173" i="44"/>
  <c r="S174" i="44"/>
  <c r="V174" i="44"/>
  <c r="T175" i="44"/>
  <c r="AL173" i="44"/>
  <c r="AG41" i="46" l="1"/>
  <c r="AI41" i="46" s="1"/>
  <c r="AK41" i="46" s="1"/>
  <c r="AM41" i="46" s="1"/>
  <c r="Y43" i="46"/>
  <c r="AA43" i="46" s="1"/>
  <c r="AA42" i="46"/>
  <c r="X41" i="46"/>
  <c r="Z41" i="46" s="1"/>
  <c r="W42" i="46"/>
  <c r="F92" i="46"/>
  <c r="H92" i="46" s="1"/>
  <c r="H91" i="46"/>
  <c r="E91" i="46"/>
  <c r="G91" i="46" s="1"/>
  <c r="D92" i="46"/>
  <c r="P90" i="46"/>
  <c r="R90" i="46" s="1"/>
  <c r="T90" i="46" s="1"/>
  <c r="V90" i="46" s="1"/>
  <c r="M42" i="46"/>
  <c r="O42" i="46" s="1"/>
  <c r="Q42" i="46" s="1"/>
  <c r="S42" i="46" s="1"/>
  <c r="AF40" i="46"/>
  <c r="AH40" i="46" s="1"/>
  <c r="AJ40" i="46" s="1"/>
  <c r="AL40" i="46" s="1"/>
  <c r="O90" i="46"/>
  <c r="Q90" i="46" s="1"/>
  <c r="S90" i="46" s="1"/>
  <c r="U90" i="46" s="1"/>
  <c r="N41" i="46"/>
  <c r="P41" i="46" s="1"/>
  <c r="R41" i="46" s="1"/>
  <c r="T41" i="46" s="1"/>
  <c r="F43" i="46"/>
  <c r="H43" i="46" s="1"/>
  <c r="H42" i="46"/>
  <c r="AN173" i="44"/>
  <c r="H221" i="44" s="1"/>
  <c r="S221" i="44" s="1"/>
  <c r="AC174" i="44"/>
  <c r="U174" i="44"/>
  <c r="AK174" i="44"/>
  <c r="S175" i="44"/>
  <c r="AC175" i="44"/>
  <c r="AM173" i="44"/>
  <c r="W173" i="44"/>
  <c r="AF175" i="44"/>
  <c r="AH175" i="44" s="1"/>
  <c r="AI175" i="44" s="1"/>
  <c r="AH174" i="44"/>
  <c r="AI174" i="44" s="1"/>
  <c r="V175" i="44"/>
  <c r="AN175" i="44" s="1"/>
  <c r="H223" i="44" s="1"/>
  <c r="S223" i="44" s="1"/>
  <c r="AO172" i="44"/>
  <c r="I220" i="44" s="1"/>
  <c r="G220" i="44"/>
  <c r="R220" i="44" s="1"/>
  <c r="T220" i="44" s="1"/>
  <c r="AL175" i="44" l="1"/>
  <c r="AN174" i="44"/>
  <c r="H222" i="44" s="1"/>
  <c r="S222" i="44" s="1"/>
  <c r="N43" i="46"/>
  <c r="P43" i="46" s="1"/>
  <c r="R43" i="46" s="1"/>
  <c r="T43" i="46" s="1"/>
  <c r="AF41" i="46"/>
  <c r="AH41" i="46" s="1"/>
  <c r="AJ41" i="46" s="1"/>
  <c r="AL41" i="46" s="1"/>
  <c r="P91" i="46"/>
  <c r="R91" i="46" s="1"/>
  <c r="T91" i="46" s="1"/>
  <c r="V91" i="46" s="1"/>
  <c r="X42" i="46"/>
  <c r="Z42" i="46" s="1"/>
  <c r="W43" i="46"/>
  <c r="X43" i="46" s="1"/>
  <c r="Z43" i="46" s="1"/>
  <c r="AG42" i="46"/>
  <c r="AI42" i="46" s="1"/>
  <c r="AK42" i="46" s="1"/>
  <c r="AM42" i="46" s="1"/>
  <c r="P92" i="46"/>
  <c r="R92" i="46" s="1"/>
  <c r="T92" i="46" s="1"/>
  <c r="V92" i="46" s="1"/>
  <c r="E92" i="46"/>
  <c r="G92" i="46" s="1"/>
  <c r="N42" i="46"/>
  <c r="P42" i="46" s="1"/>
  <c r="R42" i="46" s="1"/>
  <c r="T42" i="46" s="1"/>
  <c r="AG43" i="46"/>
  <c r="AI43" i="46" s="1"/>
  <c r="AK43" i="46" s="1"/>
  <c r="AM43" i="46" s="1"/>
  <c r="O91" i="46"/>
  <c r="Q91" i="46" s="1"/>
  <c r="S91" i="46" s="1"/>
  <c r="U91" i="46" s="1"/>
  <c r="E43" i="46"/>
  <c r="G43" i="46" s="1"/>
  <c r="W174" i="44"/>
  <c r="AM174" i="44"/>
  <c r="U175" i="44"/>
  <c r="AK175" i="44"/>
  <c r="AO173" i="44"/>
  <c r="I221" i="44" s="1"/>
  <c r="G221" i="44"/>
  <c r="R221" i="44" s="1"/>
  <c r="T221" i="44" s="1"/>
  <c r="AF43" i="46" l="1"/>
  <c r="AH43" i="46" s="1"/>
  <c r="AJ43" i="46" s="1"/>
  <c r="AL43" i="46" s="1"/>
  <c r="M43" i="46"/>
  <c r="O43" i="46" s="1"/>
  <c r="Q43" i="46" s="1"/>
  <c r="S43" i="46" s="1"/>
  <c r="AF42" i="46"/>
  <c r="AH42" i="46" s="1"/>
  <c r="AJ42" i="46" s="1"/>
  <c r="AL42" i="46" s="1"/>
  <c r="O92" i="46"/>
  <c r="Q92" i="46" s="1"/>
  <c r="S92" i="46" s="1"/>
  <c r="U92" i="46" s="1"/>
  <c r="W175" i="44"/>
  <c r="AM175" i="44"/>
  <c r="AO174" i="44"/>
  <c r="I222" i="44" s="1"/>
  <c r="G222" i="44"/>
  <c r="R222" i="44" s="1"/>
  <c r="T222" i="44" s="1"/>
  <c r="F41" i="27"/>
  <c r="AO175" i="44" l="1"/>
  <c r="I223" i="44" s="1"/>
  <c r="G223" i="44"/>
  <c r="R223" i="44" s="1"/>
  <c r="T223" i="44" s="1"/>
  <c r="E40" i="27" l="1"/>
  <c r="I10" i="27" l="1"/>
  <c r="I9" i="27"/>
  <c r="I24" i="27" l="1"/>
  <c r="B30" i="41"/>
  <c r="I38" i="27"/>
  <c r="I28" i="27"/>
  <c r="I40" i="27"/>
  <c r="B46" i="41"/>
  <c r="I22" i="27"/>
  <c r="B28" i="41"/>
  <c r="I20" i="27"/>
  <c r="I21" i="27"/>
  <c r="B27" i="41"/>
  <c r="I39" i="27"/>
  <c r="B45" i="41"/>
  <c r="I37" i="27"/>
  <c r="B43" i="41"/>
  <c r="I30" i="27"/>
  <c r="I23" i="27"/>
  <c r="B29" i="41"/>
  <c r="I26" i="27"/>
  <c r="B32" i="41"/>
  <c r="I27" i="27"/>
  <c r="B33" i="41"/>
  <c r="I25" i="27"/>
  <c r="B31" i="41"/>
  <c r="I29" i="27"/>
  <c r="B26" i="41"/>
  <c r="B5" i="38"/>
  <c r="D5" i="38" s="1"/>
  <c r="C12" i="41" l="1"/>
  <c r="G7" i="27"/>
  <c r="G15" i="27"/>
  <c r="G33" i="27"/>
  <c r="S36" i="41" s="1"/>
  <c r="G35" i="27"/>
  <c r="G18" i="27"/>
  <c r="G36" i="27"/>
  <c r="S44" i="41" s="1"/>
  <c r="G13" i="27"/>
  <c r="S16" i="41" s="1"/>
  <c r="T16" i="41" s="1"/>
  <c r="G8" i="27"/>
  <c r="G16" i="27"/>
  <c r="G34" i="27"/>
  <c r="G19" i="27"/>
  <c r="G6" i="27"/>
  <c r="I6" i="27" s="1"/>
  <c r="G17" i="27"/>
  <c r="G11" i="27"/>
  <c r="G31" i="27"/>
  <c r="S34" i="41" s="1"/>
  <c r="G12" i="27"/>
  <c r="S15" i="41" s="1"/>
  <c r="T15" i="41" s="1"/>
  <c r="G32" i="27"/>
  <c r="S35" i="41" s="1"/>
  <c r="I5" i="27"/>
  <c r="G14" i="27"/>
  <c r="T35" i="41" l="1"/>
  <c r="B35" i="41" s="1"/>
  <c r="T34" i="41"/>
  <c r="B34" i="41" s="1"/>
  <c r="T44" i="41"/>
  <c r="B44" i="41" s="1"/>
  <c r="T36" i="41"/>
  <c r="B36" i="41" s="1"/>
  <c r="I11" i="27"/>
  <c r="G42" i="27"/>
  <c r="I19" i="27"/>
  <c r="S22" i="41"/>
  <c r="S23" i="41"/>
  <c r="I17" i="27"/>
  <c r="S24" i="41"/>
  <c r="I18" i="27"/>
  <c r="S21" i="41"/>
  <c r="T21" i="41" s="1"/>
  <c r="I15" i="27"/>
  <c r="S20" i="41"/>
  <c r="T20" i="41" s="1"/>
  <c r="I14" i="27"/>
  <c r="S37" i="41"/>
  <c r="T37" i="41" s="1"/>
  <c r="I31" i="27"/>
  <c r="S14" i="41"/>
  <c r="T14" i="41" s="1"/>
  <c r="I8" i="27"/>
  <c r="S19" i="41"/>
  <c r="T19" i="41" s="1"/>
  <c r="I13" i="27"/>
  <c r="S18" i="41"/>
  <c r="T18" i="41" s="1"/>
  <c r="I12" i="27"/>
  <c r="I16" i="27"/>
  <c r="S41" i="41"/>
  <c r="T41" i="41" s="1"/>
  <c r="I35" i="27"/>
  <c r="S13" i="41"/>
  <c r="T13" i="41" s="1"/>
  <c r="I7" i="27"/>
  <c r="S38" i="41"/>
  <c r="T38" i="41" s="1"/>
  <c r="I32" i="27"/>
  <c r="S40" i="41"/>
  <c r="T40" i="41" s="1"/>
  <c r="I34" i="27"/>
  <c r="S42" i="41"/>
  <c r="T42" i="41" s="1"/>
  <c r="I36" i="27"/>
  <c r="S39" i="41"/>
  <c r="T39" i="41" s="1"/>
  <c r="I33" i="27"/>
  <c r="B16" i="41"/>
  <c r="D16" i="41" s="1"/>
  <c r="B15" i="41"/>
  <c r="D15" i="41" s="1"/>
  <c r="S17" i="41"/>
  <c r="T17" i="41" s="1"/>
  <c r="S25" i="41"/>
  <c r="T25" i="41" s="1"/>
  <c r="S12" i="41"/>
  <c r="T12" i="41" s="1"/>
  <c r="G41" i="27"/>
  <c r="T23" i="41" l="1"/>
  <c r="B23" i="41" s="1"/>
  <c r="T22" i="41"/>
  <c r="B22" i="41" s="1"/>
  <c r="T24" i="41"/>
  <c r="B24" i="41" s="1"/>
  <c r="B19" i="41"/>
  <c r="B40" i="41"/>
  <c r="B37" i="41"/>
  <c r="B38" i="41"/>
  <c r="B21" i="41"/>
  <c r="B18" i="41"/>
  <c r="B39" i="41"/>
  <c r="B41" i="41"/>
  <c r="B20" i="41"/>
  <c r="B42" i="41"/>
  <c r="B13" i="41"/>
  <c r="D13" i="41" s="1"/>
  <c r="B17" i="41"/>
  <c r="B25" i="41"/>
  <c r="S47" i="41"/>
  <c r="I41" i="27"/>
  <c r="T47" i="41" l="1"/>
  <c r="E3" i="12" s="1"/>
  <c r="B14" i="41"/>
  <c r="D14" i="41" s="1"/>
  <c r="B12" i="41"/>
  <c r="D12" i="41" s="1"/>
  <c r="B47" i="41"/>
  <c r="E12" i="41" l="1"/>
  <c r="E13" i="41" s="1"/>
  <c r="E14" i="41" s="1"/>
  <c r="E15" i="41" s="1"/>
  <c r="E16" i="41" s="1"/>
  <c r="C104" i="39" l="1"/>
  <c r="C103" i="39" l="1"/>
  <c r="C102" i="39" l="1"/>
  <c r="D102" i="39" l="1"/>
  <c r="D97" i="39"/>
  <c r="D96" i="39" s="1"/>
  <c r="D95" i="39" s="1"/>
  <c r="D94" i="39" s="1"/>
  <c r="D93" i="39" s="1"/>
  <c r="D92" i="39" s="1"/>
  <c r="D91" i="39" s="1"/>
  <c r="D90" i="39" s="1"/>
  <c r="D89" i="39" s="1"/>
  <c r="D88" i="39" s="1"/>
  <c r="D87" i="39" s="1"/>
  <c r="D86" i="39" s="1"/>
  <c r="D85" i="39" s="1"/>
  <c r="D84" i="39" s="1"/>
  <c r="D83" i="39" s="1"/>
  <c r="D82" i="39" s="1"/>
  <c r="C67" i="39"/>
  <c r="D103" i="39" l="1"/>
  <c r="E102" i="39"/>
  <c r="B67" i="39" s="1"/>
  <c r="C66" i="39"/>
  <c r="D104" i="39" l="1"/>
  <c r="E103" i="39"/>
  <c r="B68" i="39" s="1"/>
  <c r="C68" i="39"/>
  <c r="B66" i="39"/>
  <c r="B65" i="39"/>
  <c r="B97" i="39"/>
  <c r="C65" i="39"/>
  <c r="D105" i="39" l="1"/>
  <c r="D106" i="39" s="1"/>
  <c r="D107" i="39" s="1"/>
  <c r="D108" i="39" s="1"/>
  <c r="D109" i="39" s="1"/>
  <c r="D110" i="39" s="1"/>
  <c r="D111" i="39" s="1"/>
  <c r="E104" i="39"/>
  <c r="B69" i="39" s="1"/>
  <c r="C69" i="39"/>
  <c r="B96" i="39"/>
  <c r="C97" i="39"/>
  <c r="C64" i="39"/>
  <c r="B64" i="39" l="1"/>
  <c r="C96" i="39"/>
  <c r="B95" i="39"/>
  <c r="B63" i="39"/>
  <c r="C63" i="39"/>
  <c r="C62" i="39" l="1"/>
  <c r="E97" i="39"/>
  <c r="B94" i="39"/>
  <c r="C95" i="39"/>
  <c r="C61" i="39" l="1"/>
  <c r="E95" i="39"/>
  <c r="C94" i="39"/>
  <c r="B93" i="39"/>
  <c r="B62" i="39"/>
  <c r="E96" i="39"/>
  <c r="C60" i="39" l="1"/>
  <c r="B60" i="39"/>
  <c r="B61" i="39"/>
  <c r="E94" i="39"/>
  <c r="C93" i="39"/>
  <c r="B92" i="39"/>
  <c r="B59" i="39" l="1"/>
  <c r="E93" i="39"/>
  <c r="C92" i="39"/>
  <c r="B91" i="39"/>
  <c r="C59" i="39"/>
  <c r="B58" i="39" l="1"/>
  <c r="B90" i="39"/>
  <c r="C91" i="39"/>
  <c r="C58" i="39"/>
  <c r="C57" i="39" l="1"/>
  <c r="E92" i="39"/>
  <c r="E91" i="39"/>
  <c r="B89" i="39"/>
  <c r="C90" i="39"/>
  <c r="B56" i="39" l="1"/>
  <c r="B88" i="39"/>
  <c r="C89" i="39"/>
  <c r="B57" i="39"/>
  <c r="C56" i="39"/>
  <c r="E89" i="39" l="1"/>
  <c r="B87" i="39"/>
  <c r="C88" i="39"/>
  <c r="C55" i="39"/>
  <c r="E90" i="39"/>
  <c r="B86" i="39" l="1"/>
  <c r="C87" i="39"/>
  <c r="C54" i="39"/>
  <c r="B55" i="39"/>
  <c r="B54" i="39"/>
  <c r="C53" i="39" l="1"/>
  <c r="B85" i="39"/>
  <c r="C86" i="39"/>
  <c r="E88" i="39"/>
  <c r="C85" i="39" l="1"/>
  <c r="B84" i="39"/>
  <c r="B53" i="39"/>
  <c r="C52" i="39"/>
  <c r="E86" i="39"/>
  <c r="E87" i="39"/>
  <c r="B51" i="39" l="1"/>
  <c r="C51" i="39"/>
  <c r="B83" i="39"/>
  <c r="C84" i="39"/>
  <c r="B52" i="39"/>
  <c r="C50" i="39" l="1"/>
  <c r="C83" i="39"/>
  <c r="B82" i="39"/>
  <c r="C82" i="39" s="1"/>
  <c r="E85" i="39"/>
  <c r="E84" i="39"/>
  <c r="B49" i="39" l="1"/>
  <c r="B50" i="39"/>
  <c r="C49" i="39"/>
  <c r="C47" i="39" l="1"/>
  <c r="C48" i="39"/>
  <c r="E82" i="39"/>
  <c r="E83" i="39"/>
  <c r="B47" i="39" l="1"/>
  <c r="B48" i="39"/>
  <c r="G107" i="39"/>
  <c r="G106" i="39"/>
  <c r="G109" i="39" l="1"/>
  <c r="G108" i="39"/>
  <c r="G110" i="39" l="1"/>
  <c r="G105" i="39"/>
  <c r="G111" i="39" l="1"/>
  <c r="G104" i="39"/>
  <c r="G103" i="39" l="1"/>
  <c r="F97" i="39" l="1"/>
  <c r="F96" i="39" l="1"/>
  <c r="G97" i="39"/>
  <c r="F95" i="39" l="1"/>
  <c r="G96" i="39"/>
  <c r="F94" i="39" l="1"/>
  <c r="G95" i="39"/>
  <c r="F93" i="39" l="1"/>
  <c r="G94" i="39"/>
  <c r="F92" i="39" l="1"/>
  <c r="G93" i="39"/>
  <c r="G92" i="39" l="1"/>
  <c r="F91" i="39"/>
  <c r="G91" i="39" l="1"/>
  <c r="F90" i="39"/>
  <c r="G90" i="39" l="1"/>
  <c r="F89" i="39"/>
  <c r="G89" i="39" l="1"/>
  <c r="F88" i="39"/>
  <c r="G88" i="39" l="1"/>
  <c r="F87" i="39"/>
  <c r="G87" i="39" l="1"/>
  <c r="F86" i="39"/>
  <c r="G86" i="39" l="1"/>
  <c r="F85" i="39"/>
  <c r="F84" i="39" l="1"/>
  <c r="G85" i="39"/>
  <c r="G84" i="39" l="1"/>
  <c r="F83" i="39"/>
  <c r="G83" i="39" l="1"/>
  <c r="F82" i="39"/>
  <c r="G82" i="39" l="1"/>
  <c r="F33" i="39" l="1"/>
  <c r="G33" i="39"/>
  <c r="H33" i="39" l="1"/>
  <c r="G32" i="39"/>
  <c r="F32" i="39" l="1"/>
  <c r="H32" i="39" s="1"/>
  <c r="H39" i="41"/>
  <c r="H38" i="41" l="1"/>
  <c r="E14" i="12" l="1"/>
  <c r="C111" i="39" l="1"/>
  <c r="C109" i="39"/>
  <c r="C110" i="39"/>
  <c r="C108" i="39"/>
  <c r="C73" i="39" s="1"/>
  <c r="C105" i="39"/>
  <c r="C107" i="39"/>
  <c r="G36" i="39" s="1"/>
  <c r="E108" i="39" l="1"/>
  <c r="B73" i="39" s="1"/>
  <c r="E107" i="39"/>
  <c r="F36" i="39" s="1"/>
  <c r="H36" i="39" s="1"/>
  <c r="E110" i="39"/>
  <c r="E109" i="39"/>
  <c r="B72" i="39"/>
  <c r="E111" i="39"/>
  <c r="C106" i="39"/>
  <c r="C72" i="39"/>
  <c r="G37" i="39"/>
  <c r="F37" i="39" l="1"/>
  <c r="H37" i="39" s="1"/>
  <c r="B76" i="39"/>
  <c r="F40" i="39"/>
  <c r="B74" i="39"/>
  <c r="F38" i="39"/>
  <c r="C76" i="39"/>
  <c r="G40" i="39"/>
  <c r="C70" i="39"/>
  <c r="G34" i="39"/>
  <c r="H42" i="41"/>
  <c r="G38" i="39"/>
  <c r="C74" i="39"/>
  <c r="B75" i="39"/>
  <c r="F39" i="39"/>
  <c r="G39" i="39"/>
  <c r="C75" i="39"/>
  <c r="E105" i="39"/>
  <c r="H43" i="41" l="1"/>
  <c r="H38" i="39"/>
  <c r="H39" i="39"/>
  <c r="B70" i="39"/>
  <c r="F34" i="39"/>
  <c r="H34" i="39" s="1"/>
  <c r="H40" i="39"/>
  <c r="C71" i="39"/>
  <c r="G35" i="39"/>
  <c r="E106" i="39"/>
  <c r="H44" i="41" l="1"/>
  <c r="H45" i="41"/>
  <c r="B71" i="39"/>
  <c r="F35" i="39"/>
  <c r="H35" i="39" s="1"/>
  <c r="H46" i="41"/>
  <c r="H40" i="41"/>
  <c r="H41" i="41" l="1"/>
  <c r="G102" i="39"/>
  <c r="E66" i="39"/>
  <c r="G66" i="39" s="1"/>
  <c r="C27" i="47" s="1"/>
  <c r="D66" i="39"/>
  <c r="F66" i="39" s="1"/>
  <c r="H102" i="39"/>
  <c r="H103" i="39" s="1"/>
  <c r="E68" i="39" l="1"/>
  <c r="G68" i="39" s="1"/>
  <c r="C29" i="47" s="1"/>
  <c r="I103" i="39"/>
  <c r="I102" i="39"/>
  <c r="D65" i="39"/>
  <c r="F65" i="39" s="1"/>
  <c r="E65" i="39"/>
  <c r="G65" i="39" s="1"/>
  <c r="C26" i="47" s="1"/>
  <c r="D64" i="39"/>
  <c r="F64" i="39" s="1"/>
  <c r="B25" i="47" s="1"/>
  <c r="B27" i="51"/>
  <c r="D27" i="51" s="1"/>
  <c r="G27" i="51" s="1"/>
  <c r="H66" i="39"/>
  <c r="B27" i="47"/>
  <c r="E67" i="39"/>
  <c r="G67" i="39" s="1"/>
  <c r="C28" i="47" s="1"/>
  <c r="D67" i="39"/>
  <c r="F67" i="39" s="1"/>
  <c r="B28" i="47" s="1"/>
  <c r="B26" i="47"/>
  <c r="B26" i="51"/>
  <c r="H65" i="39"/>
  <c r="H104" i="39"/>
  <c r="I104" i="39" s="1"/>
  <c r="D68" i="39"/>
  <c r="F68" i="39" s="1"/>
  <c r="E64" i="39"/>
  <c r="G64" i="39" s="1"/>
  <c r="D27" i="47"/>
  <c r="D63" i="39"/>
  <c r="F63" i="39" s="1"/>
  <c r="C27" i="51" l="1"/>
  <c r="F27" i="51" s="1"/>
  <c r="B28" i="51"/>
  <c r="H67" i="39"/>
  <c r="E27" i="51"/>
  <c r="H27" i="51" s="1"/>
  <c r="I27" i="51" s="1"/>
  <c r="I36" i="41"/>
  <c r="G27" i="47"/>
  <c r="F27" i="47"/>
  <c r="E27" i="47"/>
  <c r="E63" i="39"/>
  <c r="G63" i="39" s="1"/>
  <c r="C24" i="47" s="1"/>
  <c r="H97" i="39"/>
  <c r="L36" i="41"/>
  <c r="C25" i="47"/>
  <c r="H64" i="39"/>
  <c r="B25" i="51"/>
  <c r="B29" i="51"/>
  <c r="H68" i="39"/>
  <c r="B29" i="47"/>
  <c r="D28" i="47"/>
  <c r="E28" i="47"/>
  <c r="F28" i="47"/>
  <c r="G28" i="47"/>
  <c r="I35" i="41"/>
  <c r="H105" i="39"/>
  <c r="I105" i="39" s="1"/>
  <c r="E69" i="39"/>
  <c r="G69" i="39" s="1"/>
  <c r="C30" i="47" s="1"/>
  <c r="D69" i="39"/>
  <c r="F69" i="39" s="1"/>
  <c r="E28" i="51"/>
  <c r="H28" i="51" s="1"/>
  <c r="D28" i="51"/>
  <c r="G28" i="51" s="1"/>
  <c r="C28" i="51"/>
  <c r="F28" i="51" s="1"/>
  <c r="D26" i="51"/>
  <c r="G26" i="51" s="1"/>
  <c r="C26" i="51"/>
  <c r="F26" i="51" s="1"/>
  <c r="E26" i="51"/>
  <c r="H26" i="51" s="1"/>
  <c r="B24" i="47"/>
  <c r="E26" i="47"/>
  <c r="G26" i="47"/>
  <c r="F26" i="47"/>
  <c r="D26" i="47"/>
  <c r="H63" i="39" l="1"/>
  <c r="J36" i="41"/>
  <c r="J27" i="51"/>
  <c r="M27" i="47"/>
  <c r="I37" i="41"/>
  <c r="E62" i="39"/>
  <c r="G62" i="39" s="1"/>
  <c r="C23" i="47" s="1"/>
  <c r="H96" i="39"/>
  <c r="I97" i="39"/>
  <c r="D62" i="39" s="1"/>
  <c r="F62" i="39" s="1"/>
  <c r="J26" i="47"/>
  <c r="B24" i="51"/>
  <c r="D24" i="51" s="1"/>
  <c r="G24" i="51" s="1"/>
  <c r="F29" i="47"/>
  <c r="E29" i="47"/>
  <c r="G29" i="47"/>
  <c r="D29" i="47"/>
  <c r="I38" i="41"/>
  <c r="L37" i="41"/>
  <c r="I33" i="41"/>
  <c r="I28" i="51"/>
  <c r="C29" i="51"/>
  <c r="F29" i="51" s="1"/>
  <c r="D29" i="51"/>
  <c r="G29" i="51" s="1"/>
  <c r="E29" i="51"/>
  <c r="H29" i="51" s="1"/>
  <c r="G24" i="47"/>
  <c r="F24" i="47"/>
  <c r="E24" i="47"/>
  <c r="D24" i="47"/>
  <c r="I26" i="51"/>
  <c r="D25" i="51"/>
  <c r="G25" i="51" s="1"/>
  <c r="E25" i="51"/>
  <c r="H25" i="51" s="1"/>
  <c r="C25" i="51"/>
  <c r="F25" i="51" s="1"/>
  <c r="B30" i="47"/>
  <c r="B30" i="51"/>
  <c r="H69" i="39"/>
  <c r="L35" i="41"/>
  <c r="H106" i="39"/>
  <c r="I106" i="39" s="1"/>
  <c r="E70" i="39"/>
  <c r="G70" i="39" s="1"/>
  <c r="C31" i="47" s="1"/>
  <c r="D70" i="39"/>
  <c r="F70" i="39" s="1"/>
  <c r="I34" i="41"/>
  <c r="D25" i="47"/>
  <c r="G25" i="47"/>
  <c r="F25" i="47"/>
  <c r="E25" i="47"/>
  <c r="K36" i="41" l="1"/>
  <c r="J27" i="47"/>
  <c r="K34" i="41"/>
  <c r="K35" i="41"/>
  <c r="C24" i="51"/>
  <c r="F24" i="51" s="1"/>
  <c r="E24" i="51"/>
  <c r="H24" i="51" s="1"/>
  <c r="I24" i="51" s="1"/>
  <c r="M26" i="47"/>
  <c r="H62" i="39"/>
  <c r="B23" i="47"/>
  <c r="B23" i="51"/>
  <c r="H95" i="39"/>
  <c r="E61" i="39"/>
  <c r="G61" i="39" s="1"/>
  <c r="C22" i="47" s="1"/>
  <c r="I96" i="39"/>
  <c r="D61" i="39" s="1"/>
  <c r="F61" i="39" s="1"/>
  <c r="K37" i="41"/>
  <c r="M28" i="47"/>
  <c r="K33" i="41"/>
  <c r="L33" i="41"/>
  <c r="J24" i="47"/>
  <c r="J28" i="47"/>
  <c r="L34" i="41"/>
  <c r="I39" i="41"/>
  <c r="I25" i="51"/>
  <c r="L38" i="41"/>
  <c r="E30" i="51"/>
  <c r="H30" i="51" s="1"/>
  <c r="D30" i="51"/>
  <c r="G30" i="51" s="1"/>
  <c r="C30" i="51"/>
  <c r="F30" i="51" s="1"/>
  <c r="D30" i="47"/>
  <c r="F30" i="47"/>
  <c r="G30" i="47"/>
  <c r="E30" i="47"/>
  <c r="J35" i="41"/>
  <c r="J26" i="51"/>
  <c r="J29" i="47"/>
  <c r="J28" i="51"/>
  <c r="J37" i="41"/>
  <c r="H107" i="39"/>
  <c r="I107" i="39" s="1"/>
  <c r="E71" i="39"/>
  <c r="G71" i="39" s="1"/>
  <c r="C32" i="47" s="1"/>
  <c r="D71" i="39"/>
  <c r="F71" i="39" s="1"/>
  <c r="H70" i="39"/>
  <c r="B31" i="51"/>
  <c r="B31" i="47"/>
  <c r="I29" i="51"/>
  <c r="J25" i="47" l="1"/>
  <c r="M24" i="47"/>
  <c r="H61" i="39"/>
  <c r="B22" i="47"/>
  <c r="B22" i="51"/>
  <c r="J30" i="47"/>
  <c r="I95" i="39"/>
  <c r="D60" i="39" s="1"/>
  <c r="F60" i="39" s="1"/>
  <c r="E60" i="39"/>
  <c r="G60" i="39" s="1"/>
  <c r="C21" i="47" s="1"/>
  <c r="H94" i="39"/>
  <c r="C23" i="51"/>
  <c r="F23" i="51" s="1"/>
  <c r="D23" i="51"/>
  <c r="G23" i="51" s="1"/>
  <c r="E23" i="51"/>
  <c r="H23" i="51" s="1"/>
  <c r="D23" i="47"/>
  <c r="E23" i="47"/>
  <c r="F23" i="47"/>
  <c r="G23" i="47"/>
  <c r="I32" i="41"/>
  <c r="J25" i="51"/>
  <c r="J34" i="41"/>
  <c r="M29" i="47"/>
  <c r="K38" i="41"/>
  <c r="E72" i="39"/>
  <c r="G72" i="39" s="1"/>
  <c r="C33" i="47" s="1"/>
  <c r="D72" i="39"/>
  <c r="F72" i="39" s="1"/>
  <c r="H108" i="39"/>
  <c r="I108" i="39" s="1"/>
  <c r="E31" i="47"/>
  <c r="G31" i="47"/>
  <c r="F31" i="47"/>
  <c r="D31" i="47"/>
  <c r="J24" i="51"/>
  <c r="J33" i="41"/>
  <c r="J38" i="41"/>
  <c r="J29" i="51"/>
  <c r="K39" i="41"/>
  <c r="E31" i="51"/>
  <c r="H31" i="51" s="1"/>
  <c r="C31" i="51"/>
  <c r="F31" i="51" s="1"/>
  <c r="D31" i="51"/>
  <c r="G31" i="51" s="1"/>
  <c r="M25" i="47"/>
  <c r="I40" i="41"/>
  <c r="L39" i="41"/>
  <c r="I30" i="51"/>
  <c r="B32" i="51"/>
  <c r="B32" i="47"/>
  <c r="H71" i="39"/>
  <c r="L32" i="41" l="1"/>
  <c r="I23" i="51"/>
  <c r="H93" i="39"/>
  <c r="I94" i="39"/>
  <c r="D59" i="39" s="1"/>
  <c r="F59" i="39" s="1"/>
  <c r="E59" i="39"/>
  <c r="G59" i="39" s="1"/>
  <c r="C20" i="47" s="1"/>
  <c r="H60" i="39"/>
  <c r="B21" i="51"/>
  <c r="B21" i="47"/>
  <c r="M30" i="47"/>
  <c r="C22" i="51"/>
  <c r="F22" i="51" s="1"/>
  <c r="D22" i="51"/>
  <c r="G22" i="51" s="1"/>
  <c r="E22" i="51"/>
  <c r="H22" i="51" s="1"/>
  <c r="F22" i="47"/>
  <c r="E22" i="47"/>
  <c r="D22" i="47"/>
  <c r="G22" i="47"/>
  <c r="J23" i="47"/>
  <c r="I31" i="41"/>
  <c r="J31" i="47"/>
  <c r="E73" i="39"/>
  <c r="G73" i="39" s="1"/>
  <c r="C34" i="47" s="1"/>
  <c r="D73" i="39"/>
  <c r="F73" i="39" s="1"/>
  <c r="H109" i="39"/>
  <c r="I109" i="39" s="1"/>
  <c r="L40" i="41"/>
  <c r="I31" i="51"/>
  <c r="N38" i="41"/>
  <c r="C38" i="41" s="1"/>
  <c r="D38" i="41" s="1"/>
  <c r="M38" i="41"/>
  <c r="B33" i="51"/>
  <c r="B33" i="47"/>
  <c r="H72" i="39"/>
  <c r="I41" i="41"/>
  <c r="E32" i="51"/>
  <c r="H32" i="51" s="1"/>
  <c r="D32" i="51"/>
  <c r="G32" i="51" s="1"/>
  <c r="C32" i="51"/>
  <c r="F32" i="51" s="1"/>
  <c r="J30" i="51"/>
  <c r="J39" i="41"/>
  <c r="D32" i="47"/>
  <c r="F32" i="47"/>
  <c r="G32" i="47"/>
  <c r="E32" i="47"/>
  <c r="D21" i="47" l="1"/>
  <c r="E21" i="47"/>
  <c r="G21" i="47"/>
  <c r="F21" i="47"/>
  <c r="J32" i="47"/>
  <c r="C21" i="51"/>
  <c r="F21" i="51" s="1"/>
  <c r="D21" i="51"/>
  <c r="G21" i="51" s="1"/>
  <c r="E21" i="51"/>
  <c r="H21" i="51" s="1"/>
  <c r="I30" i="41"/>
  <c r="M22" i="47"/>
  <c r="L31" i="41"/>
  <c r="J22" i="47"/>
  <c r="I22" i="51"/>
  <c r="M23" i="47"/>
  <c r="K32" i="41"/>
  <c r="B20" i="47"/>
  <c r="H59" i="39"/>
  <c r="B20" i="51"/>
  <c r="H92" i="39"/>
  <c r="I93" i="39"/>
  <c r="D58" i="39" s="1"/>
  <c r="F58" i="39" s="1"/>
  <c r="E58" i="39"/>
  <c r="G58" i="39" s="1"/>
  <c r="C19" i="47" s="1"/>
  <c r="J32" i="41"/>
  <c r="J23" i="51"/>
  <c r="H110" i="39"/>
  <c r="I110" i="39" s="1"/>
  <c r="D74" i="39"/>
  <c r="F74" i="39" s="1"/>
  <c r="E74" i="39"/>
  <c r="G74" i="39" s="1"/>
  <c r="C35" i="47" s="1"/>
  <c r="L41" i="41"/>
  <c r="N39" i="41"/>
  <c r="C39" i="41" s="1"/>
  <c r="D39" i="41" s="1"/>
  <c r="M39" i="41"/>
  <c r="B34" i="51"/>
  <c r="B34" i="47"/>
  <c r="H73" i="39"/>
  <c r="K41" i="41"/>
  <c r="I32" i="51"/>
  <c r="I42" i="41"/>
  <c r="K40" i="41"/>
  <c r="M31" i="47"/>
  <c r="D33" i="47"/>
  <c r="E33" i="47"/>
  <c r="G33" i="47"/>
  <c r="F33" i="47"/>
  <c r="J31" i="51"/>
  <c r="J40" i="41"/>
  <c r="D33" i="51"/>
  <c r="G33" i="51" s="1"/>
  <c r="C33" i="51"/>
  <c r="F33" i="51" s="1"/>
  <c r="E33" i="51"/>
  <c r="H33" i="51" s="1"/>
  <c r="K31" i="41" l="1"/>
  <c r="I21" i="51"/>
  <c r="F20" i="47"/>
  <c r="G20" i="47"/>
  <c r="D20" i="47"/>
  <c r="E20" i="47"/>
  <c r="J22" i="51"/>
  <c r="J31" i="41"/>
  <c r="J21" i="47"/>
  <c r="I29" i="41"/>
  <c r="I33" i="51"/>
  <c r="J33" i="51" s="1"/>
  <c r="B19" i="51"/>
  <c r="B19" i="47"/>
  <c r="H58" i="39"/>
  <c r="L30" i="41"/>
  <c r="I92" i="39"/>
  <c r="D57" i="39" s="1"/>
  <c r="F57" i="39" s="1"/>
  <c r="H91" i="39"/>
  <c r="E57" i="39"/>
  <c r="G57" i="39" s="1"/>
  <c r="C18" i="47" s="1"/>
  <c r="E20" i="51"/>
  <c r="H20" i="51" s="1"/>
  <c r="D20" i="51"/>
  <c r="G20" i="51" s="1"/>
  <c r="C20" i="51"/>
  <c r="F20" i="51" s="1"/>
  <c r="I43" i="41"/>
  <c r="L42" i="41"/>
  <c r="M32" i="47"/>
  <c r="D75" i="39"/>
  <c r="F75" i="39" s="1"/>
  <c r="E75" i="39"/>
  <c r="G75" i="39" s="1"/>
  <c r="C36" i="47" s="1"/>
  <c r="H111" i="39"/>
  <c r="I111" i="39" s="1"/>
  <c r="B35" i="47"/>
  <c r="B35" i="51"/>
  <c r="H74" i="39"/>
  <c r="M40" i="41"/>
  <c r="N40" i="41"/>
  <c r="C40" i="41" s="1"/>
  <c r="D40" i="41" s="1"/>
  <c r="E34" i="47"/>
  <c r="F34" i="47"/>
  <c r="D34" i="47"/>
  <c r="G34" i="47"/>
  <c r="E34" i="51"/>
  <c r="H34" i="51" s="1"/>
  <c r="C34" i="51"/>
  <c r="F34" i="51" s="1"/>
  <c r="D34" i="51"/>
  <c r="G34" i="51" s="1"/>
  <c r="J41" i="41"/>
  <c r="J32" i="51"/>
  <c r="J33" i="47" l="1"/>
  <c r="K42" i="41"/>
  <c r="I20" i="51"/>
  <c r="B18" i="51"/>
  <c r="B18" i="47"/>
  <c r="H57" i="39"/>
  <c r="I28" i="41"/>
  <c r="D19" i="51"/>
  <c r="G19" i="51" s="1"/>
  <c r="E19" i="51"/>
  <c r="H19" i="51" s="1"/>
  <c r="C19" i="51"/>
  <c r="F19" i="51" s="1"/>
  <c r="J42" i="41"/>
  <c r="K30" i="41"/>
  <c r="M21" i="47"/>
  <c r="K29" i="41"/>
  <c r="J20" i="47"/>
  <c r="L29" i="41"/>
  <c r="G19" i="47"/>
  <c r="D19" i="47"/>
  <c r="F19" i="47"/>
  <c r="E19" i="47"/>
  <c r="H90" i="39"/>
  <c r="E56" i="39"/>
  <c r="G56" i="39" s="1"/>
  <c r="C17" i="47" s="1"/>
  <c r="I91" i="39"/>
  <c r="D56" i="39" s="1"/>
  <c r="F56" i="39" s="1"/>
  <c r="J30" i="41"/>
  <c r="J21" i="51"/>
  <c r="I34" i="51"/>
  <c r="E76" i="39"/>
  <c r="G76" i="39" s="1"/>
  <c r="C37" i="47" s="1"/>
  <c r="D76" i="39"/>
  <c r="F76" i="39" s="1"/>
  <c r="M33" i="47"/>
  <c r="D35" i="51"/>
  <c r="G35" i="51" s="1"/>
  <c r="E35" i="51"/>
  <c r="H35" i="51" s="1"/>
  <c r="C35" i="51"/>
  <c r="F35" i="51" s="1"/>
  <c r="M41" i="41"/>
  <c r="N41" i="41"/>
  <c r="C41" i="41" s="1"/>
  <c r="D41" i="41" s="1"/>
  <c r="L43" i="41"/>
  <c r="B36" i="47"/>
  <c r="H75" i="39"/>
  <c r="B36" i="51"/>
  <c r="D35" i="47"/>
  <c r="E35" i="47"/>
  <c r="F35" i="47"/>
  <c r="G35" i="47"/>
  <c r="I44" i="41"/>
  <c r="I19" i="51" l="1"/>
  <c r="M20" i="47"/>
  <c r="J29" i="41"/>
  <c r="J20" i="51"/>
  <c r="M42" i="41"/>
  <c r="N42" i="41"/>
  <c r="C42" i="41" s="1"/>
  <c r="D42" i="41" s="1"/>
  <c r="J19" i="51"/>
  <c r="J28" i="41"/>
  <c r="E55" i="39"/>
  <c r="G55" i="39" s="1"/>
  <c r="C16" i="47" s="1"/>
  <c r="I90" i="39"/>
  <c r="D55" i="39" s="1"/>
  <c r="F55" i="39" s="1"/>
  <c r="H89" i="39"/>
  <c r="I27" i="41"/>
  <c r="L28" i="41"/>
  <c r="B17" i="51"/>
  <c r="H56" i="39"/>
  <c r="B17" i="47"/>
  <c r="E18" i="47"/>
  <c r="F18" i="47"/>
  <c r="D18" i="47"/>
  <c r="G18" i="47"/>
  <c r="E18" i="51"/>
  <c r="H18" i="51" s="1"/>
  <c r="D18" i="51"/>
  <c r="G18" i="51" s="1"/>
  <c r="C18" i="51"/>
  <c r="F18" i="51" s="1"/>
  <c r="M34" i="47"/>
  <c r="K43" i="41"/>
  <c r="L44" i="41"/>
  <c r="I45" i="41"/>
  <c r="B37" i="47"/>
  <c r="B37" i="51"/>
  <c r="H76" i="39"/>
  <c r="I35" i="51"/>
  <c r="J34" i="47"/>
  <c r="J43" i="41"/>
  <c r="J34" i="51"/>
  <c r="D36" i="51"/>
  <c r="G36" i="51" s="1"/>
  <c r="E36" i="51"/>
  <c r="H36" i="51" s="1"/>
  <c r="C36" i="51"/>
  <c r="F36" i="51" s="1"/>
  <c r="G36" i="47"/>
  <c r="D36" i="47"/>
  <c r="F36" i="47"/>
  <c r="E36" i="47"/>
  <c r="I18" i="51" l="1"/>
  <c r="H88" i="39"/>
  <c r="E54" i="39"/>
  <c r="G54" i="39" s="1"/>
  <c r="C15" i="47" s="1"/>
  <c r="I89" i="39"/>
  <c r="D54" i="39" s="1"/>
  <c r="F54" i="39" s="1"/>
  <c r="B16" i="47"/>
  <c r="H55" i="39"/>
  <c r="B16" i="51"/>
  <c r="J18" i="47"/>
  <c r="L27" i="41"/>
  <c r="I26" i="41"/>
  <c r="D17" i="51"/>
  <c r="G17" i="51" s="1"/>
  <c r="C17" i="51"/>
  <c r="F17" i="51" s="1"/>
  <c r="E17" i="51"/>
  <c r="H17" i="51" s="1"/>
  <c r="E17" i="47"/>
  <c r="D17" i="47"/>
  <c r="G17" i="47"/>
  <c r="F17" i="47"/>
  <c r="M19" i="47"/>
  <c r="K28" i="41"/>
  <c r="J19" i="47"/>
  <c r="J44" i="41"/>
  <c r="J35" i="51"/>
  <c r="J36" i="47"/>
  <c r="M43" i="41"/>
  <c r="N43" i="41"/>
  <c r="C43" i="41" s="1"/>
  <c r="D43" i="41" s="1"/>
  <c r="M35" i="47"/>
  <c r="K44" i="41"/>
  <c r="I46" i="41"/>
  <c r="F37" i="47"/>
  <c r="G37" i="47"/>
  <c r="D37" i="47"/>
  <c r="E37" i="47"/>
  <c r="J35" i="47"/>
  <c r="L45" i="41"/>
  <c r="D37" i="51"/>
  <c r="G37" i="51" s="1"/>
  <c r="E37" i="51"/>
  <c r="H37" i="51" s="1"/>
  <c r="C37" i="51"/>
  <c r="F37" i="51" s="1"/>
  <c r="I36" i="51"/>
  <c r="J18" i="51" l="1"/>
  <c r="J27" i="41"/>
  <c r="L26" i="41"/>
  <c r="K27" i="41"/>
  <c r="M18" i="47"/>
  <c r="D16" i="51"/>
  <c r="G16" i="51" s="1"/>
  <c r="E16" i="51"/>
  <c r="H16" i="51" s="1"/>
  <c r="C16" i="51"/>
  <c r="F16" i="51" s="1"/>
  <c r="I17" i="51"/>
  <c r="I25" i="41"/>
  <c r="D16" i="47"/>
  <c r="F16" i="47"/>
  <c r="G16" i="47"/>
  <c r="E16" i="47"/>
  <c r="B15" i="47"/>
  <c r="B15" i="51"/>
  <c r="H54" i="39"/>
  <c r="H87" i="39"/>
  <c r="I88" i="39"/>
  <c r="D53" i="39" s="1"/>
  <c r="F53" i="39" s="1"/>
  <c r="E53" i="39"/>
  <c r="G53" i="39" s="1"/>
  <c r="C14" i="47" s="1"/>
  <c r="J37" i="47"/>
  <c r="I37" i="51"/>
  <c r="L46" i="41"/>
  <c r="K45" i="41"/>
  <c r="J36" i="51"/>
  <c r="J45" i="41"/>
  <c r="M44" i="41"/>
  <c r="N44" i="41"/>
  <c r="C44" i="41" s="1"/>
  <c r="D44" i="41" s="1"/>
  <c r="M36" i="47"/>
  <c r="K25" i="41" l="1"/>
  <c r="K26" i="41"/>
  <c r="I16" i="51"/>
  <c r="I24" i="41"/>
  <c r="F15" i="47"/>
  <c r="E15" i="47"/>
  <c r="G15" i="47"/>
  <c r="D15" i="47"/>
  <c r="J17" i="47"/>
  <c r="D15" i="51"/>
  <c r="G15" i="51" s="1"/>
  <c r="C15" i="51"/>
  <c r="F15" i="51" s="1"/>
  <c r="E15" i="51"/>
  <c r="H15" i="51" s="1"/>
  <c r="L25" i="41"/>
  <c r="J17" i="51"/>
  <c r="J26" i="41"/>
  <c r="B14" i="51"/>
  <c r="H53" i="39"/>
  <c r="B14" i="47"/>
  <c r="I87" i="39"/>
  <c r="D52" i="39" s="1"/>
  <c r="F52" i="39" s="1"/>
  <c r="H86" i="39"/>
  <c r="E52" i="39"/>
  <c r="G52" i="39" s="1"/>
  <c r="C13" i="47" s="1"/>
  <c r="M17" i="47"/>
  <c r="K46" i="41"/>
  <c r="M37" i="47"/>
  <c r="M45" i="41"/>
  <c r="N45" i="41"/>
  <c r="C45" i="41" s="1"/>
  <c r="D45" i="41" s="1"/>
  <c r="J37" i="51"/>
  <c r="J46" i="41"/>
  <c r="M16" i="47" l="1"/>
  <c r="J16" i="47"/>
  <c r="E51" i="39"/>
  <c r="G51" i="39" s="1"/>
  <c r="C12" i="47" s="1"/>
  <c r="H85" i="39"/>
  <c r="I86" i="39"/>
  <c r="D51" i="39" s="1"/>
  <c r="F51" i="39" s="1"/>
  <c r="G14" i="47"/>
  <c r="F14" i="47"/>
  <c r="E14" i="47"/>
  <c r="D14" i="47"/>
  <c r="I15" i="51"/>
  <c r="E14" i="51"/>
  <c r="H14" i="51" s="1"/>
  <c r="D14" i="51"/>
  <c r="G14" i="51" s="1"/>
  <c r="C14" i="51"/>
  <c r="F14" i="51" s="1"/>
  <c r="L24" i="41"/>
  <c r="J15" i="47"/>
  <c r="J25" i="41"/>
  <c r="J16" i="51"/>
  <c r="B13" i="47"/>
  <c r="B13" i="51"/>
  <c r="H52" i="39"/>
  <c r="I23" i="41"/>
  <c r="M46" i="41"/>
  <c r="N46" i="41"/>
  <c r="C46" i="41" s="1"/>
  <c r="D46" i="41" s="1"/>
  <c r="I14" i="51" l="1"/>
  <c r="K24" i="41"/>
  <c r="M15" i="47"/>
  <c r="L23" i="41"/>
  <c r="J14" i="47"/>
  <c r="K23" i="41"/>
  <c r="D13" i="47"/>
  <c r="G13" i="47"/>
  <c r="E13" i="47"/>
  <c r="F13" i="47"/>
  <c r="B12" i="51"/>
  <c r="B12" i="47"/>
  <c r="H51" i="39"/>
  <c r="E50" i="39"/>
  <c r="G50" i="39" s="1"/>
  <c r="C11" i="47" s="1"/>
  <c r="H84" i="39"/>
  <c r="I85" i="39"/>
  <c r="D50" i="39" s="1"/>
  <c r="F50" i="39" s="1"/>
  <c r="J14" i="51"/>
  <c r="J23" i="41"/>
  <c r="J15" i="51"/>
  <c r="J24" i="41"/>
  <c r="I22" i="41"/>
  <c r="C13" i="51"/>
  <c r="F13" i="51" s="1"/>
  <c r="D13" i="51"/>
  <c r="G13" i="51" s="1"/>
  <c r="E13" i="51"/>
  <c r="H13" i="51" s="1"/>
  <c r="H50" i="39" l="1"/>
  <c r="B11" i="47"/>
  <c r="B11" i="51"/>
  <c r="C12" i="51"/>
  <c r="F12" i="51" s="1"/>
  <c r="E12" i="51"/>
  <c r="H12" i="51" s="1"/>
  <c r="D12" i="51"/>
  <c r="G12" i="51" s="1"/>
  <c r="I21" i="41"/>
  <c r="M13" i="47"/>
  <c r="J13" i="47"/>
  <c r="L22" i="41"/>
  <c r="K22" i="41"/>
  <c r="I84" i="39"/>
  <c r="D49" i="39" s="1"/>
  <c r="F49" i="39" s="1"/>
  <c r="E49" i="39"/>
  <c r="G49" i="39" s="1"/>
  <c r="C10" i="47" s="1"/>
  <c r="H83" i="39"/>
  <c r="M14" i="47"/>
  <c r="G12" i="47"/>
  <c r="D12" i="47"/>
  <c r="F12" i="47"/>
  <c r="E12" i="47"/>
  <c r="I13" i="51"/>
  <c r="E48" i="39" l="1"/>
  <c r="G48" i="39" s="1"/>
  <c r="C9" i="47" s="1"/>
  <c r="H82" i="39"/>
  <c r="I83" i="39"/>
  <c r="D48" i="39" s="1"/>
  <c r="F48" i="39" s="1"/>
  <c r="I12" i="51"/>
  <c r="J13" i="51"/>
  <c r="J22" i="41"/>
  <c r="C11" i="51"/>
  <c r="F11" i="51" s="1"/>
  <c r="D11" i="51"/>
  <c r="G11" i="51" s="1"/>
  <c r="E11" i="51"/>
  <c r="H11" i="51" s="1"/>
  <c r="G11" i="47"/>
  <c r="D11" i="47"/>
  <c r="F11" i="47"/>
  <c r="E11" i="47"/>
  <c r="I20" i="41"/>
  <c r="H49" i="39"/>
  <c r="B10" i="51"/>
  <c r="B10" i="47"/>
  <c r="L21" i="41"/>
  <c r="J11" i="47" l="1"/>
  <c r="L20" i="41"/>
  <c r="I11" i="51"/>
  <c r="K21" i="41"/>
  <c r="M12" i="47"/>
  <c r="E10" i="47"/>
  <c r="G10" i="47"/>
  <c r="D10" i="47"/>
  <c r="F10" i="47"/>
  <c r="D10" i="51"/>
  <c r="G10" i="51" s="1"/>
  <c r="C10" i="51"/>
  <c r="F10" i="51" s="1"/>
  <c r="E10" i="51"/>
  <c r="H10" i="51" s="1"/>
  <c r="B9" i="51"/>
  <c r="H48" i="39"/>
  <c r="B9" i="47"/>
  <c r="I19" i="41"/>
  <c r="J21" i="41"/>
  <c r="J12" i="51"/>
  <c r="J12" i="47"/>
  <c r="I82" i="39"/>
  <c r="D47" i="39" s="1"/>
  <c r="F47" i="39" s="1"/>
  <c r="E47" i="39"/>
  <c r="G47" i="39" s="1"/>
  <c r="C8" i="47" s="1"/>
  <c r="L19" i="41" l="1"/>
  <c r="J10" i="47"/>
  <c r="I18" i="41"/>
  <c r="I10" i="51"/>
  <c r="J20" i="41"/>
  <c r="J11" i="51"/>
  <c r="D9" i="47"/>
  <c r="E9" i="47"/>
  <c r="F9" i="47"/>
  <c r="G9" i="47"/>
  <c r="B8" i="51"/>
  <c r="B8" i="47"/>
  <c r="H47" i="39"/>
  <c r="D9" i="51"/>
  <c r="G9" i="51" s="1"/>
  <c r="E9" i="51"/>
  <c r="H9" i="51" s="1"/>
  <c r="C9" i="51"/>
  <c r="F9" i="51" s="1"/>
  <c r="K20" i="41"/>
  <c r="M11" i="47"/>
  <c r="E8" i="47" l="1"/>
  <c r="F8" i="47"/>
  <c r="G8" i="47"/>
  <c r="D8" i="47"/>
  <c r="K18" i="41"/>
  <c r="C8" i="51"/>
  <c r="F8" i="51" s="1"/>
  <c r="E8" i="51"/>
  <c r="H8" i="51" s="1"/>
  <c r="D8" i="51"/>
  <c r="G8" i="51" s="1"/>
  <c r="I17" i="41"/>
  <c r="I47" i="41" s="1"/>
  <c r="I77" i="39"/>
  <c r="E4" i="39" s="1"/>
  <c r="H77" i="39"/>
  <c r="E3" i="39" s="1"/>
  <c r="L18" i="41"/>
  <c r="J9" i="47"/>
  <c r="J10" i="51"/>
  <c r="J19" i="41"/>
  <c r="K19" i="41"/>
  <c r="M10" i="47"/>
  <c r="I9" i="51"/>
  <c r="M9" i="47" l="1"/>
  <c r="I8" i="51"/>
  <c r="I38" i="51"/>
  <c r="C2" i="51" s="1"/>
  <c r="J8" i="51"/>
  <c r="J17" i="41"/>
  <c r="H38" i="47"/>
  <c r="L17" i="41"/>
  <c r="L48" i="41" s="1"/>
  <c r="J9" i="51"/>
  <c r="J18" i="41"/>
  <c r="L38" i="47" l="1"/>
  <c r="K17" i="41"/>
  <c r="I38" i="47"/>
  <c r="J38" i="51"/>
  <c r="C3" i="51" s="1"/>
  <c r="K38" i="47"/>
  <c r="J4" i="47"/>
  <c r="J8" i="47"/>
  <c r="J38" i="47" s="1"/>
  <c r="C2" i="47" s="1"/>
  <c r="J47" i="41"/>
  <c r="M8" i="47" l="1"/>
  <c r="M38" i="47" s="1"/>
  <c r="C3" i="47" s="1"/>
  <c r="K47" i="41"/>
  <c r="O102" i="39"/>
  <c r="B31" i="39" s="1"/>
  <c r="F31" i="39" s="1"/>
  <c r="C31" i="39"/>
  <c r="G31" i="39" s="1"/>
  <c r="N100" i="39"/>
  <c r="C30" i="39" l="1"/>
  <c r="G30" i="39" s="1"/>
  <c r="H31" i="39"/>
  <c r="C29" i="39"/>
  <c r="G29" i="39" s="1"/>
  <c r="O100" i="39"/>
  <c r="B29" i="39" s="1"/>
  <c r="F29" i="39" s="1"/>
  <c r="H29" i="39" s="1"/>
  <c r="H37" i="41"/>
  <c r="O101" i="39"/>
  <c r="B30" i="39" s="1"/>
  <c r="F30" i="39" s="1"/>
  <c r="H30" i="39" l="1"/>
  <c r="H36" i="41"/>
  <c r="C28" i="39"/>
  <c r="O99" i="39"/>
  <c r="B28" i="39" s="1"/>
  <c r="M37" i="41"/>
  <c r="N37" i="41"/>
  <c r="C37" i="41" s="1"/>
  <c r="D37" i="41" s="1"/>
  <c r="H35" i="41"/>
  <c r="N97" i="39" l="1"/>
  <c r="B27" i="39"/>
  <c r="C27" i="39"/>
  <c r="N36" i="41"/>
  <c r="C36" i="41" s="1"/>
  <c r="D36" i="41" s="1"/>
  <c r="M36" i="41"/>
  <c r="N35" i="41"/>
  <c r="C35" i="41" s="1"/>
  <c r="D35" i="41" s="1"/>
  <c r="M35" i="41"/>
  <c r="O97" i="39" l="1"/>
  <c r="B26" i="39" s="1"/>
  <c r="N96" i="39"/>
  <c r="C26" i="39"/>
  <c r="O96" i="39" l="1"/>
  <c r="B25" i="39" s="1"/>
  <c r="C25" i="39"/>
  <c r="N95" i="39"/>
  <c r="C24" i="39" l="1"/>
  <c r="O95" i="39"/>
  <c r="B24" i="39" s="1"/>
  <c r="N94" i="39"/>
  <c r="C23" i="39" l="1"/>
  <c r="N93" i="39"/>
  <c r="O94" i="39"/>
  <c r="B23" i="39" s="1"/>
  <c r="C22" i="39" l="1"/>
  <c r="O93" i="39"/>
  <c r="B22" i="39" s="1"/>
  <c r="N92" i="39"/>
  <c r="N91" i="39" l="1"/>
  <c r="C21" i="39"/>
  <c r="O92" i="39"/>
  <c r="B21" i="39" s="1"/>
  <c r="N90" i="39" l="1"/>
  <c r="O91" i="39"/>
  <c r="B20" i="39" s="1"/>
  <c r="C20" i="39"/>
  <c r="N89" i="39" l="1"/>
  <c r="O90" i="39"/>
  <c r="B19" i="39" s="1"/>
  <c r="C19" i="39"/>
  <c r="C18" i="39" l="1"/>
  <c r="O89" i="39"/>
  <c r="B18" i="39" s="1"/>
  <c r="N88" i="39"/>
  <c r="N87" i="39" l="1"/>
  <c r="C17" i="39"/>
  <c r="O88" i="39"/>
  <c r="B17" i="39" s="1"/>
  <c r="O87" i="39" l="1"/>
  <c r="B16" i="39" s="1"/>
  <c r="C16" i="39"/>
  <c r="N86" i="39"/>
  <c r="O86" i="39" l="1"/>
  <c r="B15" i="39" s="1"/>
  <c r="N85" i="39"/>
  <c r="C15" i="39"/>
  <c r="C14" i="39" l="1"/>
  <c r="O85" i="39"/>
  <c r="B14" i="39" s="1"/>
  <c r="N84" i="39"/>
  <c r="N83" i="39" l="1"/>
  <c r="O84" i="39"/>
  <c r="B13" i="39" s="1"/>
  <c r="C13" i="39"/>
  <c r="C12" i="39" l="1"/>
  <c r="O83" i="39"/>
  <c r="B12" i="39" s="1"/>
  <c r="N82" i="39"/>
  <c r="O82" i="39" l="1"/>
  <c r="B11" i="39" s="1"/>
  <c r="C11" i="39"/>
  <c r="S98" i="39"/>
  <c r="D27" i="39"/>
  <c r="F27" i="39"/>
  <c r="H27" i="39" s="1"/>
  <c r="R97" i="39"/>
  <c r="E26" i="39" s="1"/>
  <c r="G26" i="39" s="1"/>
  <c r="G27" i="39"/>
  <c r="E27" i="39"/>
  <c r="R99" i="39"/>
  <c r="S99" i="39" s="1"/>
  <c r="D28" i="39" s="1"/>
  <c r="F28" i="39" s="1"/>
  <c r="H33" i="41" l="1"/>
  <c r="M33" i="41"/>
  <c r="N33" i="41"/>
  <c r="C33" i="41" s="1"/>
  <c r="D33" i="41" s="1"/>
  <c r="E28" i="39"/>
  <c r="G28" i="39" s="1"/>
  <c r="H28" i="39" s="1"/>
  <c r="R96" i="39"/>
  <c r="S97" i="39"/>
  <c r="D26" i="39" s="1"/>
  <c r="F26" i="39" s="1"/>
  <c r="H26" i="39" s="1"/>
  <c r="H34" i="41" l="1"/>
  <c r="H32" i="41"/>
  <c r="R95" i="39"/>
  <c r="E25" i="39"/>
  <c r="G25" i="39" s="1"/>
  <c r="S96" i="39"/>
  <c r="D25" i="39" s="1"/>
  <c r="F25" i="39" s="1"/>
  <c r="H25" i="39" s="1"/>
  <c r="H31" i="41" l="1"/>
  <c r="E24" i="39"/>
  <c r="G24" i="39" s="1"/>
  <c r="R94" i="39"/>
  <c r="S95" i="39"/>
  <c r="D24" i="39" s="1"/>
  <c r="F24" i="39" s="1"/>
  <c r="H24" i="39" s="1"/>
  <c r="N32" i="41"/>
  <c r="C32" i="41" s="1"/>
  <c r="D32" i="41" s="1"/>
  <c r="M32" i="41"/>
  <c r="M34" i="41"/>
  <c r="N34" i="41"/>
  <c r="C34" i="41" s="1"/>
  <c r="D34" i="41" s="1"/>
  <c r="R93" i="39" l="1"/>
  <c r="S94" i="39"/>
  <c r="D23" i="39" s="1"/>
  <c r="F23" i="39" s="1"/>
  <c r="E23" i="39"/>
  <c r="G23" i="39" s="1"/>
  <c r="H30" i="41"/>
  <c r="N31" i="41"/>
  <c r="C31" i="41" s="1"/>
  <c r="D31" i="41" s="1"/>
  <c r="M31" i="41"/>
  <c r="H23" i="39" l="1"/>
  <c r="M30" i="41"/>
  <c r="N30" i="41"/>
  <c r="C30" i="41" s="1"/>
  <c r="D30" i="41" s="1"/>
  <c r="H29" i="41"/>
  <c r="E22" i="39"/>
  <c r="G22" i="39" s="1"/>
  <c r="S93" i="39"/>
  <c r="D22" i="39" s="1"/>
  <c r="F22" i="39" s="1"/>
  <c r="R92" i="39"/>
  <c r="H22" i="39" l="1"/>
  <c r="M29" i="41"/>
  <c r="N29" i="41"/>
  <c r="C29" i="41" s="1"/>
  <c r="D29" i="41" s="1"/>
  <c r="E21" i="39"/>
  <c r="G21" i="39" s="1"/>
  <c r="R91" i="39"/>
  <c r="S92" i="39"/>
  <c r="D21" i="39" s="1"/>
  <c r="F21" i="39" s="1"/>
  <c r="H21" i="39" l="1"/>
  <c r="S91" i="39"/>
  <c r="D20" i="39" s="1"/>
  <c r="F20" i="39" s="1"/>
  <c r="R90" i="39"/>
  <c r="E20" i="39"/>
  <c r="G20" i="39" s="1"/>
  <c r="H28" i="41"/>
  <c r="N28" i="41" l="1"/>
  <c r="C28" i="41" s="1"/>
  <c r="D28" i="41" s="1"/>
  <c r="M28" i="41"/>
  <c r="S90" i="39"/>
  <c r="D19" i="39" s="1"/>
  <c r="F19" i="39" s="1"/>
  <c r="E19" i="39"/>
  <c r="G19" i="39" s="1"/>
  <c r="R89" i="39"/>
  <c r="H20" i="39"/>
  <c r="H27" i="41"/>
  <c r="N27" i="41" l="1"/>
  <c r="C27" i="41" s="1"/>
  <c r="D27" i="41" s="1"/>
  <c r="M27" i="41"/>
  <c r="H26" i="41"/>
  <c r="H19" i="39"/>
  <c r="R88" i="39"/>
  <c r="E18" i="39"/>
  <c r="G18" i="39" s="1"/>
  <c r="S89" i="39"/>
  <c r="D18" i="39" s="1"/>
  <c r="F18" i="39" s="1"/>
  <c r="H18" i="39" s="1"/>
  <c r="H25" i="41" l="1"/>
  <c r="E17" i="39"/>
  <c r="G17" i="39" s="1"/>
  <c r="S88" i="39"/>
  <c r="D17" i="39" s="1"/>
  <c r="F17" i="39" s="1"/>
  <c r="H17" i="39" s="1"/>
  <c r="R87" i="39"/>
  <c r="H24" i="41"/>
  <c r="N26" i="41"/>
  <c r="C26" i="41" s="1"/>
  <c r="D26" i="41" s="1"/>
  <c r="M26" i="41"/>
  <c r="E16" i="39" l="1"/>
  <c r="G16" i="39" s="1"/>
  <c r="S87" i="39"/>
  <c r="D16" i="39" s="1"/>
  <c r="F16" i="39" s="1"/>
  <c r="H16" i="39" s="1"/>
  <c r="R86" i="39"/>
  <c r="H23" i="41"/>
  <c r="M24" i="41"/>
  <c r="N24" i="41"/>
  <c r="C24" i="41" s="1"/>
  <c r="D24" i="41" s="1"/>
  <c r="N25" i="41"/>
  <c r="C25" i="41" s="1"/>
  <c r="D25" i="41" s="1"/>
  <c r="M25" i="41"/>
  <c r="N23" i="41" l="1"/>
  <c r="C23" i="41" s="1"/>
  <c r="D23" i="41" s="1"/>
  <c r="M23" i="41"/>
  <c r="H22" i="41"/>
  <c r="E15" i="39"/>
  <c r="G15" i="39" s="1"/>
  <c r="S86" i="39"/>
  <c r="D15" i="39" s="1"/>
  <c r="F15" i="39" s="1"/>
  <c r="H15" i="39" s="1"/>
  <c r="R85" i="39"/>
  <c r="H21" i="41" l="1"/>
  <c r="N22" i="41"/>
  <c r="C22" i="41" s="1"/>
  <c r="D22" i="41" s="1"/>
  <c r="M22" i="41"/>
  <c r="R84" i="39"/>
  <c r="S85" i="39"/>
  <c r="D14" i="39" s="1"/>
  <c r="F14" i="39" s="1"/>
  <c r="H14" i="39" s="1"/>
  <c r="E14" i="39"/>
  <c r="G14" i="39" s="1"/>
  <c r="R83" i="39" l="1"/>
  <c r="E13" i="39"/>
  <c r="G13" i="39" s="1"/>
  <c r="S84" i="39"/>
  <c r="D13" i="39" s="1"/>
  <c r="F13" i="39" s="1"/>
  <c r="H13" i="39" s="1"/>
  <c r="H20" i="41"/>
  <c r="M21" i="41"/>
  <c r="N21" i="41"/>
  <c r="C21" i="41" s="1"/>
  <c r="D21" i="41" s="1"/>
  <c r="H19" i="41" l="1"/>
  <c r="M20" i="41"/>
  <c r="N20" i="41"/>
  <c r="C20" i="41" s="1"/>
  <c r="D20" i="41" s="1"/>
  <c r="S83" i="39"/>
  <c r="D12" i="39" s="1"/>
  <c r="F12" i="39" s="1"/>
  <c r="E12" i="39"/>
  <c r="G12" i="39" s="1"/>
  <c r="R82" i="39"/>
  <c r="S82" i="39" l="1"/>
  <c r="D11" i="39" s="1"/>
  <c r="F11" i="39" s="1"/>
  <c r="E11" i="39"/>
  <c r="G11" i="39" s="1"/>
  <c r="E12" i="12" s="1"/>
  <c r="E13" i="12" s="1"/>
  <c r="H12" i="39"/>
  <c r="M19" i="41"/>
  <c r="N19" i="41"/>
  <c r="C19" i="41" s="1"/>
  <c r="D19" i="41" s="1"/>
  <c r="H18" i="41" l="1"/>
  <c r="H11" i="39"/>
  <c r="M18" i="41" l="1"/>
  <c r="N18" i="41"/>
  <c r="C18" i="41" s="1"/>
  <c r="D18" i="41" s="1"/>
  <c r="I41" i="39"/>
  <c r="C4" i="39" s="1"/>
  <c r="G4" i="39" s="1"/>
  <c r="H17" i="41"/>
  <c r="H41" i="39"/>
  <c r="C3" i="39" s="1"/>
  <c r="G3" i="39" s="1"/>
  <c r="M17" i="41" l="1"/>
  <c r="M47" i="41" s="1"/>
  <c r="N17" i="41"/>
  <c r="H47" i="41"/>
  <c r="H49" i="41" l="1"/>
  <c r="L49" i="41"/>
  <c r="I49" i="41"/>
  <c r="F3" i="12"/>
  <c r="J49" i="41"/>
  <c r="K49" i="41"/>
  <c r="N47" i="41"/>
  <c r="C17" i="41"/>
  <c r="C4" i="41" l="1"/>
  <c r="H3" i="12" s="1"/>
  <c r="G3" i="12"/>
  <c r="E15" i="12" s="1"/>
  <c r="C6" i="41"/>
  <c r="D17" i="41"/>
  <c r="C47" i="41"/>
  <c r="E17" i="41" l="1"/>
  <c r="E18" i="41" s="1"/>
  <c r="E19" i="41" s="1"/>
  <c r="E20" i="41" s="1"/>
  <c r="E21" i="41" s="1"/>
  <c r="E22" i="41" s="1"/>
  <c r="E23" i="41" s="1"/>
  <c r="E24" i="41" s="1"/>
  <c r="E25" i="41" s="1"/>
  <c r="E26" i="41" s="1"/>
  <c r="E27" i="41" s="1"/>
  <c r="E28" i="41" s="1"/>
  <c r="E29" i="41" s="1"/>
  <c r="E30" i="41" s="1"/>
  <c r="E31" i="41" s="1"/>
  <c r="E32" i="41" s="1"/>
  <c r="E33" i="41" s="1"/>
  <c r="E34" i="41" s="1"/>
  <c r="E35" i="41" s="1"/>
  <c r="E36" i="41" s="1"/>
  <c r="E37" i="41" s="1"/>
  <c r="E38" i="41" s="1"/>
  <c r="E39" i="41" s="1"/>
  <c r="E40" i="41" s="1"/>
  <c r="E41" i="41" s="1"/>
  <c r="E42" i="41" s="1"/>
  <c r="E43" i="41" s="1"/>
  <c r="E44" i="41" s="1"/>
  <c r="E45" i="41" s="1"/>
  <c r="E46" i="41" s="1"/>
  <c r="D47" i="41"/>
  <c r="C5"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Urban</author>
    <author>Clawson, David W</author>
    <author>Eric Strack</author>
  </authors>
  <commentList>
    <comment ref="B4" authorId="0" shapeId="0" xr:uid="{B5C2C263-52B4-4250-A015-2DB63A0E2022}">
      <text>
        <r>
          <rPr>
            <b/>
            <sz val="9"/>
            <color indexed="81"/>
            <rFont val="Tahoma"/>
            <family val="2"/>
          </rPr>
          <t>David Urban:</t>
        </r>
        <r>
          <rPr>
            <sz val="9"/>
            <color indexed="81"/>
            <rFont val="Tahoma"/>
            <family val="2"/>
          </rPr>
          <t xml:space="preserve">
Based on Google Maps travel time</t>
        </r>
      </text>
    </comment>
    <comment ref="A18" authorId="0" shapeId="0" xr:uid="{66816489-84C6-48F7-B47B-5E35759A6F7C}">
      <text>
        <r>
          <rPr>
            <b/>
            <sz val="9"/>
            <color indexed="81"/>
            <rFont val="Tahoma"/>
            <family val="2"/>
          </rPr>
          <t>David Urban:</t>
        </r>
        <r>
          <rPr>
            <sz val="9"/>
            <color indexed="81"/>
            <rFont val="Tahoma"/>
            <family val="2"/>
          </rPr>
          <t xml:space="preserve">
From CDM Smith BCA</t>
        </r>
      </text>
    </comment>
    <comment ref="A21" authorId="1" shapeId="0" xr:uid="{C79EF262-4CE7-4D50-9967-84A3B2484386}">
      <text>
        <r>
          <rPr>
            <b/>
            <sz val="9"/>
            <color indexed="81"/>
            <rFont val="Tahoma"/>
            <family val="2"/>
          </rPr>
          <t>Clawson, David W:</t>
        </r>
        <r>
          <rPr>
            <sz val="9"/>
            <color indexed="81"/>
            <rFont val="Tahoma"/>
            <family val="2"/>
          </rPr>
          <t xml:space="preserve">
USDOT Crossing Inventory Form for Union Pacific Railroad Co.</t>
        </r>
      </text>
    </comment>
    <comment ref="A23" authorId="1" shapeId="0" xr:uid="{337CA1D9-F11E-4316-9591-D3AF28BE6D3D}">
      <text>
        <r>
          <rPr>
            <b/>
            <sz val="9"/>
            <color indexed="81"/>
            <rFont val="Tahoma"/>
            <family val="2"/>
          </rPr>
          <t>Clawson, David W:</t>
        </r>
        <r>
          <rPr>
            <sz val="9"/>
            <color indexed="81"/>
            <rFont val="Tahoma"/>
            <family val="2"/>
          </rPr>
          <t xml:space="preserve">
USDOT Crossing Inventory Form for Union Pacific Railroad Co.</t>
        </r>
      </text>
    </comment>
    <comment ref="A25" authorId="1" shapeId="0" xr:uid="{71DA5292-8803-4339-8D4F-FDF3618E48D6}">
      <text>
        <r>
          <rPr>
            <b/>
            <sz val="9"/>
            <color indexed="81"/>
            <rFont val="Tahoma"/>
            <family val="2"/>
          </rPr>
          <t>Clawson, David W:</t>
        </r>
        <r>
          <rPr>
            <sz val="9"/>
            <color indexed="81"/>
            <rFont val="Tahoma"/>
            <family val="2"/>
          </rPr>
          <t xml:space="preserve">
USDOT Crossing Inventory Form for Union Pacific Railroad Co.</t>
        </r>
      </text>
    </comment>
    <comment ref="A28" authorId="2" shapeId="0" xr:uid="{2A304476-5E90-4652-AF9B-F8EDBB29DCC3}">
      <text>
        <r>
          <rPr>
            <b/>
            <sz val="9"/>
            <color indexed="81"/>
            <rFont val="Tahoma"/>
            <family val="2"/>
          </rPr>
          <t>Eric Strack:</t>
        </r>
        <r>
          <rPr>
            <sz val="9"/>
            <color indexed="81"/>
            <rFont val="Tahoma"/>
            <family val="2"/>
          </rPr>
          <t xml:space="preserve">
Assumed 100 cars based upon Table 4.1 in https://expresslanes.codot.gov/programs/transitandrail/resource-materials-new/AARStudy.pdf</t>
        </r>
      </text>
    </comment>
    <comment ref="A30" authorId="0" shapeId="0" xr:uid="{2D4A5A5D-EA26-44BA-982A-ACC1BAD4CD70}">
      <text>
        <r>
          <rPr>
            <b/>
            <sz val="9"/>
            <color indexed="81"/>
            <rFont val="Tahoma"/>
            <family val="2"/>
          </rPr>
          <t>David Urban:</t>
        </r>
        <r>
          <rPr>
            <sz val="9"/>
            <color indexed="81"/>
            <rFont val="Tahoma"/>
            <family val="2"/>
          </rPr>
          <t xml:space="preserve">
https://www.uprr.com/newsinfo/releases/community/2012/1008_up_ok.shtml</t>
        </r>
      </text>
    </comment>
    <comment ref="A32" authorId="2" shapeId="0" xr:uid="{6830C971-FE75-40C4-B2CD-378C2D26086A}">
      <text>
        <r>
          <rPr>
            <b/>
            <sz val="9"/>
            <color indexed="81"/>
            <rFont val="Tahoma"/>
            <family val="2"/>
          </rPr>
          <t>Eric Strack:</t>
        </r>
        <r>
          <rPr>
            <sz val="9"/>
            <color indexed="81"/>
            <rFont val="Tahoma"/>
            <family val="2"/>
          </rPr>
          <t xml:space="preserve">
https://www.gbrx.com/manufacturing/north-america-rail/tank-cars/305k-tank-ethanol-general-purpose/
Assume length of 60.5' </t>
        </r>
      </text>
    </comment>
    <comment ref="A38" authorId="0" shapeId="0" xr:uid="{29BEF3C4-4199-437B-8925-5932EAA1808E}">
      <text>
        <r>
          <rPr>
            <b/>
            <sz val="9"/>
            <color indexed="81"/>
            <rFont val="Tahoma"/>
            <family val="2"/>
          </rPr>
          <t>David Urban:</t>
        </r>
        <r>
          <rPr>
            <sz val="9"/>
            <color indexed="81"/>
            <rFont val="Tahoma"/>
            <family val="2"/>
          </rPr>
          <t xml:space="preserve">
From CDM Smith BCA</t>
        </r>
      </text>
    </comment>
    <comment ref="D48" authorId="1" shapeId="0" xr:uid="{5182758E-0131-4F51-97DE-989AC2CDBE55}">
      <text>
        <r>
          <rPr>
            <b/>
            <sz val="9"/>
            <color indexed="81"/>
            <rFont val="Tahoma"/>
            <family val="2"/>
          </rPr>
          <t>Clawson, David W:</t>
        </r>
        <r>
          <rPr>
            <sz val="9"/>
            <color indexed="81"/>
            <rFont val="Tahoma"/>
            <family val="2"/>
          </rPr>
          <t xml:space="preserve">
http://www.seattle.gov/transportation/docs/121105PR-CoalTrainTrafficImpactStudy.pdf 
Page 13 and
http://www.caltrain.com/assets/_engineering/engineering-standards-2/criteria/CHAPTER7.pdf Page 7-19</t>
        </r>
      </text>
    </comment>
    <comment ref="A52" authorId="0" shapeId="0" xr:uid="{F9769400-D94B-4BF4-B359-591BF54C58CD}">
      <text>
        <r>
          <rPr>
            <b/>
            <sz val="9"/>
            <color indexed="81"/>
            <rFont val="Tahoma"/>
            <family val="2"/>
          </rPr>
          <t>David Urban:</t>
        </r>
        <r>
          <rPr>
            <sz val="9"/>
            <color indexed="81"/>
            <rFont val="Tahoma"/>
            <family val="2"/>
          </rPr>
          <t xml:space="preserve">
From CDM Smith BCA</t>
        </r>
      </text>
    </comment>
    <comment ref="B71" authorId="1" shapeId="0" xr:uid="{50E0D409-ECD2-4BAC-9EC4-4F2D910265D2}">
      <text>
        <r>
          <rPr>
            <b/>
            <sz val="9"/>
            <color indexed="81"/>
            <rFont val="Tahoma"/>
            <family val="2"/>
          </rPr>
          <t>Clawson, David W:</t>
        </r>
        <r>
          <rPr>
            <sz val="9"/>
            <color indexed="81"/>
            <rFont val="Tahoma"/>
            <family val="2"/>
          </rPr>
          <t xml:space="preserve">
OKDOT, October 2017</t>
        </r>
      </text>
    </comment>
    <comment ref="B87" authorId="0" shapeId="0" xr:uid="{419BBFF6-967C-4B9B-8ADE-09C00FBC0D63}">
      <text>
        <r>
          <rPr>
            <b/>
            <sz val="9"/>
            <color indexed="81"/>
            <rFont val="Tahoma"/>
            <family val="2"/>
          </rPr>
          <t>David Urban:</t>
        </r>
        <r>
          <rPr>
            <sz val="9"/>
            <color indexed="81"/>
            <rFont val="Tahoma"/>
            <family val="2"/>
          </rPr>
          <t xml:space="preserve">
From previous HYPER Model Appendix</t>
        </r>
      </text>
    </comment>
    <comment ref="A112" authorId="0" shapeId="0" xr:uid="{7587C21F-FDB7-4372-8974-6724F774929E}">
      <text>
        <r>
          <rPr>
            <b/>
            <sz val="9"/>
            <color indexed="81"/>
            <rFont val="Tahoma"/>
            <family val="2"/>
          </rPr>
          <t>David Urban:</t>
        </r>
        <r>
          <rPr>
            <sz val="9"/>
            <color indexed="81"/>
            <rFont val="Tahoma"/>
            <family val="2"/>
          </rPr>
          <t xml:space="preserve">
CAGR for 2040-2060 = 0.9%</t>
        </r>
      </text>
    </comment>
    <comment ref="S134" authorId="0" shapeId="0" xr:uid="{5AB0F17B-28D5-4847-9836-453F3467E113}">
      <text>
        <r>
          <rPr>
            <b/>
            <sz val="9"/>
            <color indexed="81"/>
            <rFont val="Tahoma"/>
            <family val="2"/>
          </rPr>
          <t>David Urban:</t>
        </r>
        <r>
          <rPr>
            <sz val="9"/>
            <color indexed="81"/>
            <rFont val="Tahoma"/>
            <family val="2"/>
          </rPr>
          <t xml:space="preserve">
Bridge over train tracks</t>
        </r>
      </text>
    </comment>
    <comment ref="Y134" authorId="0" shapeId="0" xr:uid="{6193CA13-9C7B-4E0F-AC0E-AC35D54A20D7}">
      <text>
        <r>
          <rPr>
            <b/>
            <sz val="9"/>
            <color indexed="81"/>
            <rFont val="Tahoma"/>
            <family val="2"/>
          </rPr>
          <t>David Urban:</t>
        </r>
        <r>
          <rPr>
            <sz val="9"/>
            <color indexed="81"/>
            <rFont val="Tahoma"/>
            <family val="2"/>
          </rPr>
          <t xml:space="preserve">
No overside loads will take this path</t>
        </r>
      </text>
    </comment>
    <comment ref="AE134" authorId="0" shapeId="0" xr:uid="{B43C2249-C1B2-4EBB-B906-3504EC75E4CB}">
      <text>
        <r>
          <rPr>
            <b/>
            <sz val="9"/>
            <color indexed="81"/>
            <rFont val="Tahoma"/>
            <family val="2"/>
          </rPr>
          <t>David Urban:</t>
        </r>
        <r>
          <rPr>
            <sz val="9"/>
            <color indexed="81"/>
            <rFont val="Tahoma"/>
            <family val="2"/>
          </rPr>
          <t xml:space="preserve">
No oversize loads will take this path</t>
        </r>
      </text>
    </comment>
    <comment ref="B136" authorId="0" shapeId="0" xr:uid="{D0F36B2E-18CC-4B90-A88A-8B5A367827C3}">
      <text>
        <r>
          <rPr>
            <b/>
            <sz val="9"/>
            <color indexed="81"/>
            <rFont val="Tahoma"/>
            <family val="2"/>
          </rPr>
          <t>David Urban:</t>
        </r>
        <r>
          <rPr>
            <sz val="9"/>
            <color indexed="81"/>
            <rFont val="Tahoma"/>
            <family val="2"/>
          </rPr>
          <t xml:space="preserve">
From previous HYPER Model Appendix</t>
        </r>
      </text>
    </comment>
    <comment ref="H136" authorId="0" shapeId="0" xr:uid="{1042355C-8C0B-4A50-ABC3-E86358874950}">
      <text>
        <r>
          <rPr>
            <b/>
            <sz val="9"/>
            <color indexed="81"/>
            <rFont val="Tahoma"/>
            <family val="2"/>
          </rPr>
          <t>David Urban:</t>
        </r>
        <r>
          <rPr>
            <sz val="9"/>
            <color indexed="81"/>
            <rFont val="Tahoma"/>
            <family val="2"/>
          </rPr>
          <t xml:space="preserve">
From previous HYPER Model Appendix</t>
        </r>
      </text>
    </comment>
    <comment ref="A161" authorId="0" shapeId="0" xr:uid="{9AB8E200-922D-48ED-864E-F3B33C6271C1}">
      <text>
        <r>
          <rPr>
            <b/>
            <sz val="9"/>
            <color indexed="81"/>
            <rFont val="Tahoma"/>
            <family val="2"/>
          </rPr>
          <t>David Urban:</t>
        </r>
        <r>
          <rPr>
            <sz val="9"/>
            <color indexed="81"/>
            <rFont val="Tahoma"/>
            <family val="2"/>
          </rPr>
          <t xml:space="preserve">
CAGR for 2040-2060 = 0.9%</t>
        </r>
      </text>
    </comment>
    <comment ref="G161" authorId="0" shapeId="0" xr:uid="{BCF4E234-401D-40D7-AB8A-A94E03D97AA1}">
      <text>
        <r>
          <rPr>
            <b/>
            <sz val="9"/>
            <color indexed="81"/>
            <rFont val="Tahoma"/>
            <family val="2"/>
          </rPr>
          <t>David Urban:</t>
        </r>
        <r>
          <rPr>
            <sz val="9"/>
            <color indexed="81"/>
            <rFont val="Tahoma"/>
            <family val="2"/>
          </rPr>
          <t xml:space="preserve">
CAGR for 2040-2060 = 0.9%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Urban</author>
  </authors>
  <commentList>
    <comment ref="C54" authorId="0" shapeId="0" xr:uid="{22A3A0A2-17D8-4F1F-A25D-9178F5DE0A48}">
      <text>
        <r>
          <rPr>
            <b/>
            <sz val="9"/>
            <color indexed="81"/>
            <rFont val="Tahoma"/>
            <family val="2"/>
          </rPr>
          <t>David Urban:</t>
        </r>
        <r>
          <rPr>
            <sz val="9"/>
            <color indexed="81"/>
            <rFont val="Tahoma"/>
            <family val="2"/>
          </rPr>
          <t xml:space="preserve">
CAGR for 2040-2060 = 0.9%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Urban</author>
  </authors>
  <commentList>
    <comment ref="C29" authorId="0" shapeId="0" xr:uid="{8455053A-1974-4FE4-9E45-F5E623E2496B}">
      <text>
        <r>
          <rPr>
            <b/>
            <sz val="9"/>
            <color indexed="81"/>
            <rFont val="Tahoma"/>
            <family val="2"/>
          </rPr>
          <t>David Urban:</t>
        </r>
        <r>
          <rPr>
            <sz val="9"/>
            <color indexed="81"/>
            <rFont val="Tahoma"/>
            <family val="2"/>
          </rPr>
          <t xml:space="preserve">
CAGR for 2040-2060 = 0.9%</t>
        </r>
      </text>
    </comment>
    <comment ref="V29" authorId="0" shapeId="0" xr:uid="{7C9A5276-4655-4485-BA39-5741A9CF2DEB}">
      <text>
        <r>
          <rPr>
            <b/>
            <sz val="9"/>
            <color indexed="81"/>
            <rFont val="Tahoma"/>
            <family val="2"/>
          </rPr>
          <t>David Urban:</t>
        </r>
        <r>
          <rPr>
            <sz val="9"/>
            <color indexed="81"/>
            <rFont val="Tahoma"/>
            <family val="2"/>
          </rPr>
          <t xml:space="preserve">
CAGR for 2040-2060 = 0.9%</t>
        </r>
      </text>
    </comment>
    <comment ref="H47" authorId="0" shapeId="0" xr:uid="{6386891D-0AD6-481C-8370-A194337F890F}">
      <text>
        <r>
          <rPr>
            <b/>
            <sz val="9"/>
            <color indexed="81"/>
            <rFont val="Tahoma"/>
            <family val="2"/>
          </rPr>
          <t>David Urban:</t>
        </r>
        <r>
          <rPr>
            <sz val="9"/>
            <color indexed="81"/>
            <rFont val="Tahoma"/>
            <family val="2"/>
          </rPr>
          <t xml:space="preserve">
Cars = Highway Capacity Manual; Trucks = Assumed 50% of car capacity</t>
        </r>
      </text>
    </comment>
    <comment ref="C78" authorId="0" shapeId="0" xr:uid="{DF0A06E1-E0C3-4A8D-B660-A50C97F5A63A}">
      <text>
        <r>
          <rPr>
            <b/>
            <sz val="9"/>
            <color indexed="81"/>
            <rFont val="Tahoma"/>
            <family val="2"/>
          </rPr>
          <t>David Urban:</t>
        </r>
        <r>
          <rPr>
            <sz val="9"/>
            <color indexed="81"/>
            <rFont val="Tahoma"/>
            <family val="2"/>
          </rPr>
          <t xml:space="preserve">
CAGR for 2040-2060 = 0.9%</t>
        </r>
      </text>
    </comment>
  </commentList>
</comments>
</file>

<file path=xl/sharedStrings.xml><?xml version="1.0" encoding="utf-8"?>
<sst xmlns="http://schemas.openxmlformats.org/spreadsheetml/2006/main" count="690" uniqueCount="382">
  <si>
    <t>Excel Workbook Overview</t>
  </si>
  <si>
    <t>NCDOT STIP Project R-2829:  NC 540 on new location from I-40/US 70 Bypass to I-87/US 64/US 264</t>
  </si>
  <si>
    <t xml:space="preserve"> = Olive green cells are independent variables (not formula-based cells)</t>
  </si>
  <si>
    <t>Spreadsheet Tab</t>
  </si>
  <si>
    <t>Description</t>
  </si>
  <si>
    <t>Additional Information</t>
  </si>
  <si>
    <t>Summary</t>
  </si>
  <si>
    <t>Concise summary of the total Benefit-Cost Ratio for the project.</t>
  </si>
  <si>
    <t>Includes the "Capital Costs," "Project Costs (NPV)," "Total Net Benefit," "Total Net Benefit (NPV)," and "Benefit-Cost Ratio" attributes</t>
  </si>
  <si>
    <t>Summary Table</t>
  </si>
  <si>
    <t>In-depth summary tables that combine the benefit and cost values from all tabs.</t>
  </si>
  <si>
    <t>Includes 4 tables:  "Direct User Benefits," "Net Direct Benefits," "30 Year Benefits," and "30 Year Costs"</t>
  </si>
  <si>
    <t>NPV</t>
  </si>
  <si>
    <t>Provides the net present values (NPV) for all analysis years (the discounting of benefits and costs over a project's life cycle from the present)</t>
  </si>
  <si>
    <t>The discount rate is 3% for CO2 emissions and 7% for all other benefits and costs.</t>
  </si>
  <si>
    <t>Costs</t>
  </si>
  <si>
    <t>Capital and operating costs for the project based on the most recent information from NCDOT's 2020 - 2029 STIP (most recently updated March 8, 2021 by  NCDOT and accessed on March 9, 2021).</t>
  </si>
  <si>
    <t>R-2829 is anticipated to be fully constructed in Fiscal Year 2028</t>
  </si>
  <si>
    <t>Maintenance</t>
  </si>
  <si>
    <t>Summarizes the estimated 30-year operation and maintenance costs for the project facility after it is built.</t>
  </si>
  <si>
    <t>Travel Time</t>
  </si>
  <si>
    <t>The Project will result in travel time savings for cars and freight vehicles in the Raleigh area. Vehicle hours of travel (VHT)—defined as total travel time in hours for passenger cars and trucks—was estimated for the No-Build and Build scenarios in both the opening year and design year. The difference between these two scenarios provides the foundation to quantify the hours saved for passenger cars and trucks. Travel time savings calculated for the TIFIA and toll revenue financing period were estimated by a linear interpolation from opening year to design year. Travel time savings benefits were estimated using total travel time saved by autos and trucks and a value of time of $17.80 per hour for passenger vehicles and $32.00 per hour for trucks.</t>
  </si>
  <si>
    <t>The Project will also reduce the vehicle miles of travel (VMT) in the Raleigh area because it will provide a new, direct connection between I-40 and I-87 in eastern Wake County. The operating cost benefits were estimated for passenger cars and trucks based on travel distance savings of trips both with and without the Project. The operating cost value per mile was multiplied by the reduced vehicle-miles to arrive at an estimate of the reduced operating cost. These operating costs were estimated for the opening and design years. Total vehicle operating cost savings for the years of analysis were estimated by
linear interpolation.</t>
  </si>
  <si>
    <t>Safety</t>
  </si>
  <si>
    <t>Environmental Protection</t>
  </si>
  <si>
    <t>The methodology used for the Project’s emissions analysis calculates the benefits achieved by lowering emissions of carbon dioxide, sulfur dioxide, nitrogen oxides, and particulate matter (no larger than 2.5 microns in diameter) from passenger vehicles and trucks.</t>
  </si>
  <si>
    <t>Project</t>
  </si>
  <si>
    <t>Capital Costs</t>
  </si>
  <si>
    <t>Project Costs (NPV)</t>
  </si>
  <si>
    <t>Total Net Benefit</t>
  </si>
  <si>
    <t>Total Net Benefit (NPV)</t>
  </si>
  <si>
    <t>Benefit-Cost Ratio</t>
  </si>
  <si>
    <t>Freight Rating:</t>
  </si>
  <si>
    <t>Substantial Freight Benefits &gt;= 20%</t>
  </si>
  <si>
    <t>Total Reduction in Truck VHT:</t>
  </si>
  <si>
    <t>vehicle hours</t>
  </si>
  <si>
    <t>Total Truck VHT Benefit:</t>
  </si>
  <si>
    <t>Total Truck VHT Benefit (NPV):</t>
  </si>
  <si>
    <t>Percentage of Total NPV:</t>
  </si>
  <si>
    <t>2024 BCA SUMMARY - McC</t>
  </si>
  <si>
    <t>Direct User Benefits</t>
  </si>
  <si>
    <t>Benefit/Cost Ratio</t>
  </si>
  <si>
    <t>Internal Rate of Return</t>
  </si>
  <si>
    <t>Net Present Value</t>
  </si>
  <si>
    <t>Discount Rate*</t>
  </si>
  <si>
    <t>Net Direct Benefits - Discount *</t>
  </si>
  <si>
    <t>30 Year BENEFITS</t>
  </si>
  <si>
    <t>30 Year COSTS</t>
  </si>
  <si>
    <t>Analysis Year</t>
  </si>
  <si>
    <t>Economic Competitiveness</t>
  </si>
  <si>
    <t>Environmental</t>
  </si>
  <si>
    <t>Total</t>
  </si>
  <si>
    <t>Discount *</t>
  </si>
  <si>
    <t>Total Costs</t>
  </si>
  <si>
    <t>Total Benefits</t>
  </si>
  <si>
    <t>Net Direct Benefits</t>
  </si>
  <si>
    <t>Cumulative</t>
  </si>
  <si>
    <t>Travel Time Savings</t>
  </si>
  <si>
    <t>Operational Savings</t>
  </si>
  <si>
    <r>
      <t>Reduced Pollutants (minus CO</t>
    </r>
    <r>
      <rPr>
        <b/>
        <vertAlign val="subscript"/>
        <sz val="10"/>
        <color theme="0"/>
        <rFont val="Arial Narrow"/>
        <family val="2"/>
      </rPr>
      <t>2</t>
    </r>
    <r>
      <rPr>
        <b/>
        <sz val="10"/>
        <color theme="0"/>
        <rFont val="Arial Narrow"/>
        <family val="2"/>
      </rPr>
      <t>)</t>
    </r>
  </si>
  <si>
    <r>
      <t>Reduced CO</t>
    </r>
    <r>
      <rPr>
        <b/>
        <vertAlign val="subscript"/>
        <sz val="10"/>
        <color theme="0"/>
        <rFont val="Arial Narrow"/>
        <family val="2"/>
      </rPr>
      <t>2</t>
    </r>
  </si>
  <si>
    <t>Operation and Maintenance Costs</t>
  </si>
  <si>
    <t>Subtotal</t>
  </si>
  <si>
    <t>3.1% Discount</t>
  </si>
  <si>
    <t>Total Benefit</t>
  </si>
  <si>
    <t>Total Cost</t>
  </si>
  <si>
    <r>
      <rPr>
        <b/>
        <sz val="12"/>
        <rFont val="Arial"/>
        <family val="2"/>
      </rPr>
      <t xml:space="preserve">*Note:  </t>
    </r>
    <r>
      <rPr>
        <sz val="12"/>
        <rFont val="Arial"/>
        <family val="2"/>
      </rPr>
      <t>The discount rate is 7% for all items except for CO2 pollutant damange, which is 3%</t>
    </r>
  </si>
  <si>
    <t>Net Present Value (NPV)</t>
  </si>
  <si>
    <t>Inflation Adjustment</t>
  </si>
  <si>
    <r>
      <t>NPV for CO</t>
    </r>
    <r>
      <rPr>
        <b/>
        <vertAlign val="subscript"/>
        <sz val="10"/>
        <color theme="0"/>
        <rFont val="Arial Narrow"/>
        <family val="2"/>
      </rPr>
      <t>2</t>
    </r>
    <r>
      <rPr>
        <b/>
        <sz val="10"/>
        <color theme="0"/>
        <rFont val="Arial Narrow"/>
        <family val="2"/>
      </rPr>
      <t xml:space="preserve"> Emissions</t>
    </r>
  </si>
  <si>
    <t>Base Year</t>
  </si>
  <si>
    <t>Multiplier</t>
  </si>
  <si>
    <t>Table A-7, 2025 BCA Guidance</t>
  </si>
  <si>
    <t>Discount Rate</t>
  </si>
  <si>
    <t>Maintenance Cost Calculations</t>
  </si>
  <si>
    <t>30 Year O&amp;M Costs</t>
  </si>
  <si>
    <t>Year</t>
  </si>
  <si>
    <t>Existing O&amp;M</t>
  </si>
  <si>
    <t>Existing Rehab Project</t>
  </si>
  <si>
    <t>Future O&amp;M</t>
  </si>
  <si>
    <t>Future Rehab Project</t>
  </si>
  <si>
    <t>Savings</t>
  </si>
  <si>
    <t>O&amp;M Strategy - Existing</t>
  </si>
  <si>
    <t>Strategy</t>
  </si>
  <si>
    <t>Lane Miles</t>
  </si>
  <si>
    <t>Reconstruction Year</t>
  </si>
  <si>
    <t>Frequency After (Years)</t>
  </si>
  <si>
    <t>Rehab Every X Years</t>
  </si>
  <si>
    <t>Preservation Cost / Lane Mile</t>
  </si>
  <si>
    <t>Reconstruction or Rehab Cost / Lane Mile</t>
  </si>
  <si>
    <t>Pavement Preservation - JCP for Control 2606</t>
  </si>
  <si>
    <t>Pavement Preservation - JCP for Control 2608</t>
  </si>
  <si>
    <t>Pavement Preservation - AC for Control 2608</t>
  </si>
  <si>
    <t>Pavement Preservation - JCP for Control 2602</t>
  </si>
  <si>
    <t>General Maintenance</t>
  </si>
  <si>
    <t>Source: NCDOT</t>
  </si>
  <si>
    <t>Capital and Operating Cost Calculations</t>
  </si>
  <si>
    <t>Total Project Costs (2023$)</t>
  </si>
  <si>
    <t>30 Year Costs</t>
  </si>
  <si>
    <t>Residual Value (2054$)</t>
  </si>
  <si>
    <t>Percent Project Cost Paid</t>
  </si>
  <si>
    <t>Project Cost</t>
  </si>
  <si>
    <t>O&amp;M</t>
  </si>
  <si>
    <t>Project Cost (NPV)</t>
  </si>
  <si>
    <t>Project Life (Years)</t>
  </si>
  <si>
    <t>No-Build</t>
  </si>
  <si>
    <t>Build</t>
  </si>
  <si>
    <t>Corridor Length (mi.)</t>
  </si>
  <si>
    <t>Speed Limit</t>
  </si>
  <si>
    <t>Reduction in VHT</t>
  </si>
  <si>
    <t>VHT Benefit</t>
  </si>
  <si>
    <t>Discount</t>
  </si>
  <si>
    <t>Vehicle Hours Travelled</t>
  </si>
  <si>
    <t>Passenger Vehicles</t>
  </si>
  <si>
    <t>Trucks</t>
  </si>
  <si>
    <t>Truck %</t>
  </si>
  <si>
    <t>Source: ODOT</t>
  </si>
  <si>
    <t>Source: Truck Value of Time (DOT Benefit-Cost Analysis (BCA) 2020 Resource Guide)</t>
  </si>
  <si>
    <t>Source: Passenger Vehicle Value of Time (DOT Benefit-Cost Analysis (BCA) 2020 Resource Guide)</t>
  </si>
  <si>
    <t>Source: Per-Mile Truck Operating Cost (DOT Benefit-Cost Analysis (BCA) 2020 Resource Guide)</t>
  </si>
  <si>
    <t>Source: Per-Mile Two-Axle Operating Cost (DOT Benefit-Cost Analysis (BCA) 2020 Resource Guide)</t>
  </si>
  <si>
    <t>TRAIN DELAY</t>
  </si>
  <si>
    <t>Train Data</t>
  </si>
  <si>
    <t>Number of Trains per Day</t>
  </si>
  <si>
    <t>Train Frequency</t>
  </si>
  <si>
    <t>2 trains 6 AM to 6 PM, 2 trains 6 PM to 6 AM</t>
  </si>
  <si>
    <t>Typical Train Speed Over Crossing</t>
  </si>
  <si>
    <t>Average Speed (mph)</t>
  </si>
  <si>
    <t>20 to 40 mph</t>
  </si>
  <si>
    <t>Assumed Train Length (cars)</t>
  </si>
  <si>
    <t>Assumed Train Car Type</t>
  </si>
  <si>
    <t>30.5K Gallon General Purpose Tank Car</t>
  </si>
  <si>
    <t>Estimated Length of One Train Car (Feet)</t>
  </si>
  <si>
    <t>Estimated Length of Train (Feet)</t>
  </si>
  <si>
    <t>Estimated Length of Train (Miles)</t>
  </si>
  <si>
    <t xml:space="preserve">Average Gate Down Time </t>
  </si>
  <si>
    <t>Vehicle Operating Cost Savings</t>
  </si>
  <si>
    <t>Train Length (ft)</t>
  </si>
  <si>
    <t>Speed</t>
  </si>
  <si>
    <t>Gate Down Time Calculation</t>
  </si>
  <si>
    <t>Miles per Hour</t>
  </si>
  <si>
    <t>Reduction in VMT</t>
  </si>
  <si>
    <t>VMT Benefit</t>
  </si>
  <si>
    <t>x</t>
  </si>
  <si>
    <t>Vehicle Miles Travelled</t>
  </si>
  <si>
    <t>Feet per Hour</t>
  </si>
  <si>
    <t>2640x</t>
  </si>
  <si>
    <t>Feet per Minute</t>
  </si>
  <si>
    <t>Add 25 seconds for the gate going down ahead of the train and 5 seconds to go back up once the train passes for a total of 30 additional seconds to the above calculation</t>
  </si>
  <si>
    <t>2 min 48 sec</t>
  </si>
  <si>
    <t>Average Gate Down Time - Night Trains</t>
  </si>
  <si>
    <t>5280x</t>
  </si>
  <si>
    <t>1 min 39 sec</t>
  </si>
  <si>
    <t>OVERSIZE LOAD DELAY</t>
  </si>
  <si>
    <t xml:space="preserve">Average Time for Super Oversize Vehicles to Clear Intersection </t>
  </si>
  <si>
    <t>Estimated Super Oversize Loads at Intersection per Year</t>
  </si>
  <si>
    <t>Estimated Super Oversize Loads at Intersection per Day (Excluding Weekends)</t>
  </si>
  <si>
    <t>Time used in calculations</t>
  </si>
  <si>
    <t>Average time for loads to clear intersection (Minutes)</t>
  </si>
  <si>
    <t>Total time for loads to clear intersection per day, excluding weekends (Minutes)</t>
  </si>
  <si>
    <t>NO BUILD</t>
  </si>
  <si>
    <t>Train Delays - No Build</t>
  </si>
  <si>
    <t>Superload Delays - (Choctaw &amp; US 81/US 62 &amp; US 81) - No Build</t>
  </si>
  <si>
    <t>Total Delay - No Build</t>
  </si>
  <si>
    <t>VMT - No Build</t>
  </si>
  <si>
    <t>Annual Vehicle Delay (Hours)</t>
  </si>
  <si>
    <t>Total VMT/Day</t>
  </si>
  <si>
    <t>Total VMT/Year</t>
  </si>
  <si>
    <t>Truck VMT/Year</t>
  </si>
  <si>
    <t>Two-Axle VMT/Year</t>
  </si>
  <si>
    <t>Two-Axle</t>
  </si>
  <si>
    <t>Truck</t>
  </si>
  <si>
    <t>Total Delay</t>
  </si>
  <si>
    <t>BUILD</t>
  </si>
  <si>
    <t>Train Delays - Build</t>
  </si>
  <si>
    <t>Intersection Delays Choctaw &amp; US 81 - Build</t>
  </si>
  <si>
    <t>Intersection Delays US 62 &amp; US 81 - Build</t>
  </si>
  <si>
    <t>Total Delay - Build</t>
  </si>
  <si>
    <t>VMT - Build (US 81 Bypass)</t>
  </si>
  <si>
    <t>VMT - Build (Existing US 81)</t>
  </si>
  <si>
    <t>VMT - Build (Total)</t>
  </si>
  <si>
    <t>Daily Vehicle Delay (Min)</t>
  </si>
  <si>
    <t>NO BUILD - BUILD</t>
  </si>
  <si>
    <t>Total Delay = No Build (Total) - Build (Total)</t>
  </si>
  <si>
    <t>VMT = No Build (Total) - Build (Total)</t>
  </si>
  <si>
    <t>Vehicle Operation Costs</t>
  </si>
  <si>
    <t>Monetized Value of Time (Yearly)</t>
  </si>
  <si>
    <t>Truck Factor</t>
  </si>
  <si>
    <t>Segment (2017) - Existing</t>
  </si>
  <si>
    <t>Weighted Average</t>
  </si>
  <si>
    <t xml:space="preserve">Segment </t>
  </si>
  <si>
    <t>No Build</t>
  </si>
  <si>
    <t>Segment</t>
  </si>
  <si>
    <t>1405/US 81 S of Chickasha to Hwy 19</t>
  </si>
  <si>
    <t>1405/US 81 S of Chickasha to I-44 Interchange</t>
  </si>
  <si>
    <t>Two-Axle AADT</t>
  </si>
  <si>
    <t>Hwy 19 to Country Club Road</t>
  </si>
  <si>
    <t>I-44 Interchange to Country Club Road Interchange</t>
  </si>
  <si>
    <t>Truck AADT</t>
  </si>
  <si>
    <t>Country Club Road to Almar Dr</t>
  </si>
  <si>
    <t>Country Club Road Interchange to Grand Ave Interchange</t>
  </si>
  <si>
    <t>Total AADT</t>
  </si>
  <si>
    <t>Almar Drive to I-44 NB On/Off Ramps</t>
  </si>
  <si>
    <t>Grand Ave Interchange to Iowa Ave Interchange</t>
  </si>
  <si>
    <t>Segment Distance (Miles)</t>
  </si>
  <si>
    <t>I-44 NB On/Off Ramps to I-44 SB On/Off Ramps</t>
  </si>
  <si>
    <t>Iowa Ave Interchange to US 62/81 Interchange</t>
  </si>
  <si>
    <t>Segment Miles/Total Miles</t>
  </si>
  <si>
    <t>I-44 SB On/Off Ramps to Grand Ave</t>
  </si>
  <si>
    <t>US 62/81 Interchange to northern extent of project</t>
  </si>
  <si>
    <t>Segment AADT</t>
  </si>
  <si>
    <t>Grand Ave to Chisholm Drive</t>
  </si>
  <si>
    <t>Segment (2017) - Build (US 81 Bypass)</t>
  </si>
  <si>
    <t>Chisholm Drive to Missouri Ave</t>
  </si>
  <si>
    <t>Missouri Ave to Minnesota Ave</t>
  </si>
  <si>
    <t>Minnesota Ave to Kansas Ave</t>
  </si>
  <si>
    <t>Kansas Ave to Chickasha Ave</t>
  </si>
  <si>
    <t>Chickasha Ave to Choctaw Ave</t>
  </si>
  <si>
    <t>Choctaw Ave/US 81 Intersection to 6th St</t>
  </si>
  <si>
    <t>6th St to N 16th St</t>
  </si>
  <si>
    <t>N 16th St to US 62/US 81</t>
  </si>
  <si>
    <t>Segment (2017) - Build (Existing US 81)</t>
  </si>
  <si>
    <t>US 62/US 81 to northern extent of bypass project</t>
  </si>
  <si>
    <t>AADT 2017-2055 (Segment 13)</t>
  </si>
  <si>
    <t>Existing</t>
  </si>
  <si>
    <t>CAGR 2017-2040</t>
  </si>
  <si>
    <t>Existing US 81</t>
  </si>
  <si>
    <t>US 81 Bypass</t>
  </si>
  <si>
    <t>CAGR 2040-2055</t>
  </si>
  <si>
    <t>Oversize Load Delay</t>
  </si>
  <si>
    <t>Daily</t>
  </si>
  <si>
    <t>Annual</t>
  </si>
  <si>
    <t>AADT 2017-2055 (Segment 15)</t>
  </si>
  <si>
    <t>Existing US 81 AADT</t>
  </si>
  <si>
    <t>Arrivals/Hour</t>
  </si>
  <si>
    <t>Departures/Hour</t>
  </si>
  <si>
    <t>Blockage (hours)</t>
  </si>
  <si>
    <t>Queue</t>
  </si>
  <si>
    <t>Clearance (hours)</t>
  </si>
  <si>
    <t>Delay (Hours)</t>
  </si>
  <si>
    <t>Car</t>
  </si>
  <si>
    <t>Car (v)</t>
  </si>
  <si>
    <t>Truck (v)</t>
  </si>
  <si>
    <t>Car (d)</t>
  </si>
  <si>
    <t>Truck (d)</t>
  </si>
  <si>
    <t>Car (t1)</t>
  </si>
  <si>
    <t>Truck (t1)</t>
  </si>
  <si>
    <t>Car (Qm1)</t>
  </si>
  <si>
    <t>Truck (Qm1)</t>
  </si>
  <si>
    <t>Car (t2)</t>
  </si>
  <si>
    <t>Truck (t2)</t>
  </si>
  <si>
    <t>http://sp.mdot.ms.gov/Environmental/Projects/Current%20Projects/District%201%20and%202/Tupelo%20Railroad%20Relocation/Feasibility%20Study/Volume%20I%20-%20Report/Report/Section%2007%20-%20At%20Grade%20Traffic%20Delay.pdf</t>
  </si>
  <si>
    <t>Notes:</t>
  </si>
  <si>
    <t>Signal is green 45% of the time</t>
  </si>
  <si>
    <t>Arterial capacity of a single lane for cars is 1800/hour, trucks 900/hour</t>
  </si>
  <si>
    <t>Train Delay Day Time</t>
  </si>
  <si>
    <t>AADT 2017-2055 (Segment 16)</t>
  </si>
  <si>
    <t>Trains</t>
  </si>
  <si>
    <t>Day</t>
  </si>
  <si>
    <t>Night</t>
  </si>
  <si>
    <t>Economic Competitiveness - Summary</t>
  </si>
  <si>
    <t>Scenario</t>
  </si>
  <si>
    <t>Benefit</t>
  </si>
  <si>
    <t>Benefit (NPV)</t>
  </si>
  <si>
    <t>VHT Benefit (NPV)</t>
  </si>
  <si>
    <t>Vehicle Hours Traveled</t>
  </si>
  <si>
    <t>VOC</t>
  </si>
  <si>
    <t>VMT Benefit (NPV)</t>
  </si>
  <si>
    <t>Vehicle Miles Traveled</t>
  </si>
  <si>
    <t>VMT No Build</t>
  </si>
  <si>
    <t xml:space="preserve">VMT Build </t>
  </si>
  <si>
    <t>VHT No Build</t>
  </si>
  <si>
    <t xml:space="preserve">VHT Build </t>
  </si>
  <si>
    <t>Daily VMT</t>
  </si>
  <si>
    <t>Annual VMT</t>
  </si>
  <si>
    <t>Annual Truck VMT</t>
  </si>
  <si>
    <t>Annual Two-Axle VMT</t>
  </si>
  <si>
    <t>Daily VHT</t>
  </si>
  <si>
    <t>Annual VHT</t>
  </si>
  <si>
    <t>Annual Truck VHT</t>
  </si>
  <si>
    <t>Annual Two-Axle VHT</t>
  </si>
  <si>
    <t>Source: Metrolina Regional Model</t>
  </si>
  <si>
    <t>VMT and VHT Totals by Study Area</t>
  </si>
  <si>
    <t>2050 - No-Build  - Daily</t>
  </si>
  <si>
    <t>Two-Axle VMT</t>
  </si>
  <si>
    <t>Truck VMT</t>
  </si>
  <si>
    <t>Truck Percentage</t>
  </si>
  <si>
    <t>Two-Axle VHT</t>
  </si>
  <si>
    <t>Truck VHT</t>
  </si>
  <si>
    <t>2050 - Build - Daily</t>
  </si>
  <si>
    <t>Growth Rates</t>
  </si>
  <si>
    <t>CAGR - 2016-2050</t>
  </si>
  <si>
    <t>CAGR - 2050-2055</t>
  </si>
  <si>
    <t>NB</t>
  </si>
  <si>
    <t>Source: Truck Value of Time (DOT Benefit-Cost Analysis (BCA) 2025 Resource Guide)</t>
  </si>
  <si>
    <t>Source: Passenger Vehicle Value of Time (All Purposes) (DOT Benefit-Cost Analysis (BCA) 2025 Resource Guide)</t>
  </si>
  <si>
    <t>Auto</t>
  </si>
  <si>
    <t>Source: Per-Mile Truck Operating Cost (DOT Benefit-Cost Analysis (BCA) 2025 Resource Guide)</t>
  </si>
  <si>
    <t>Source: Per-Mile Two-Axle Operating Cost (DOT Benefit-Cost Analysis (BCA) 2025 Resource Guide)</t>
  </si>
  <si>
    <t>Total VMT</t>
  </si>
  <si>
    <t>Total VHT</t>
  </si>
  <si>
    <t>Safety Crash Savings - Summary</t>
  </si>
  <si>
    <t>Potential Cost Savings</t>
  </si>
  <si>
    <t>Potential Cost Savings (NPV)</t>
  </si>
  <si>
    <t>VMT Reduction (Million Vehicle Miles)</t>
  </si>
  <si>
    <t>Number of Annual Crashes Reduced Based on VMT Saved</t>
  </si>
  <si>
    <t>Value of Annual Crashed Avoided</t>
  </si>
  <si>
    <t>Fatal</t>
  </si>
  <si>
    <t>Injury</t>
  </si>
  <si>
    <t>Other</t>
  </si>
  <si>
    <t>Total Benefit (NPV)</t>
  </si>
  <si>
    <t>VMT Ratio (2050)</t>
  </si>
  <si>
    <t>Rowan County</t>
  </si>
  <si>
    <t>BCA Roadways</t>
  </si>
  <si>
    <t>Factor</t>
  </si>
  <si>
    <t>Crashes</t>
  </si>
  <si>
    <t>Fatalities</t>
  </si>
  <si>
    <t>Injuries</t>
  </si>
  <si>
    <t>VMT (100 MVM)</t>
  </si>
  <si>
    <t>Data source: 2021-2023 NC Rowan County Crash Data (https://www.ncdot.gov/about-us/our-mission/performance/Pages/fatality-rates.aspx)</t>
  </si>
  <si>
    <t>Crash rate (per 100 million VMT)</t>
  </si>
  <si>
    <t>Others</t>
  </si>
  <si>
    <t>Parameters - Accident cost</t>
  </si>
  <si>
    <t>2023 Cost/Accident</t>
  </si>
  <si>
    <t>Source</t>
  </si>
  <si>
    <t>BCA Guidance 2025</t>
  </si>
  <si>
    <t>Capital, Operating, and Maintanence Cost Calculations</t>
  </si>
  <si>
    <t>Annual O&amp;M Savings</t>
  </si>
  <si>
    <t>Future</t>
  </si>
  <si>
    <t>2017$</t>
  </si>
  <si>
    <t>Source: MDOT</t>
  </si>
  <si>
    <t>Expected Rehab Project Costs (2017$)</t>
  </si>
  <si>
    <t>**Check BCA Guidance for NPV table costs</t>
  </si>
  <si>
    <t>*Equaly 690k or potential future costs</t>
  </si>
  <si>
    <t>Environmental Cost Savings - Summary</t>
  </si>
  <si>
    <t>Total Reduced Damage of Pollutant Emissions</t>
  </si>
  <si>
    <t>Total Reduced Damage of Pollutant Emissions (NPV)</t>
  </si>
  <si>
    <t>Environmental Protection Cost Savings</t>
  </si>
  <si>
    <t>VMT Savings</t>
  </si>
  <si>
    <t>Pollutant Emissions Calculations (grams)</t>
  </si>
  <si>
    <r>
      <t>Benefit of Reduced Damage from CO</t>
    </r>
    <r>
      <rPr>
        <b/>
        <vertAlign val="subscript"/>
        <sz val="10"/>
        <color theme="0"/>
        <rFont val="Arial Narrow"/>
        <family val="2"/>
      </rPr>
      <t>2</t>
    </r>
  </si>
  <si>
    <r>
      <t>Benefit of Reduced Damage from Pollutant Emissions 
(All Except for CO</t>
    </r>
    <r>
      <rPr>
        <b/>
        <vertAlign val="subscript"/>
        <sz val="10"/>
        <color theme="0"/>
        <rFont val="Arial Narrow"/>
        <family val="2"/>
      </rPr>
      <t>2</t>
    </r>
    <r>
      <rPr>
        <b/>
        <sz val="10"/>
        <color theme="0"/>
        <rFont val="Arial Narrow"/>
        <family val="2"/>
      </rPr>
      <t>)</t>
    </r>
  </si>
  <si>
    <t>Benefit of Reduced Damage from All Pollutant Emissions</t>
  </si>
  <si>
    <r>
      <t>Benefit of Reduced Damage from CO</t>
    </r>
    <r>
      <rPr>
        <b/>
        <vertAlign val="subscript"/>
        <sz val="10"/>
        <color theme="0"/>
        <rFont val="Arial Narrow"/>
        <family val="2"/>
      </rPr>
      <t>2</t>
    </r>
    <r>
      <rPr>
        <b/>
        <sz val="10"/>
        <color theme="0"/>
        <rFont val="Arial Narrow"/>
        <family val="2"/>
      </rPr>
      <t xml:space="preserve"> Emissions</t>
    </r>
  </si>
  <si>
    <r>
      <t>Benefit of Reduced Damage from Pollutant Emissions (NPV)
(All Except for CO</t>
    </r>
    <r>
      <rPr>
        <b/>
        <vertAlign val="subscript"/>
        <sz val="10"/>
        <color theme="0"/>
        <rFont val="Arial Narrow"/>
        <family val="2"/>
      </rPr>
      <t>2</t>
    </r>
    <r>
      <rPr>
        <b/>
        <sz val="10"/>
        <color theme="0"/>
        <rFont val="Arial Narrow"/>
        <family val="2"/>
      </rPr>
      <t>)</t>
    </r>
  </si>
  <si>
    <t>Benefit of Reduced Damage from All Pollutant Emissions (NPV)</t>
  </si>
  <si>
    <t>Carbon Dioxide</t>
  </si>
  <si>
    <t>Sulfur Dioxide</t>
  </si>
  <si>
    <t>Nitrogen Oxides</t>
  </si>
  <si>
    <t>Particulate Matter (2.5)</t>
  </si>
  <si>
    <t>Damage Costs for Pollutant Emissions</t>
  </si>
  <si>
    <t>No. of Grams per Metric Ton:</t>
  </si>
  <si>
    <t>Per Metric Ton</t>
  </si>
  <si>
    <t>Per Gram (1 metric ton = 1e+6 grams)</t>
  </si>
  <si>
    <t>OR</t>
  </si>
  <si>
    <t>Emission Type</t>
  </si>
  <si>
    <r>
      <t>NO</t>
    </r>
    <r>
      <rPr>
        <b/>
        <vertAlign val="subscript"/>
        <sz val="10"/>
        <color theme="0"/>
        <rFont val="Arial Narrow"/>
        <family val="2"/>
      </rPr>
      <t>X</t>
    </r>
  </si>
  <si>
    <r>
      <t>SO</t>
    </r>
    <r>
      <rPr>
        <b/>
        <vertAlign val="subscript"/>
        <sz val="10"/>
        <color theme="0"/>
        <rFont val="Arial Narrow"/>
        <family val="2"/>
      </rPr>
      <t>2</t>
    </r>
  </si>
  <si>
    <r>
      <t>PM</t>
    </r>
    <r>
      <rPr>
        <b/>
        <vertAlign val="subscript"/>
        <sz val="10"/>
        <color theme="0"/>
        <rFont val="Arial Narrow"/>
        <family val="2"/>
      </rPr>
      <t>2.5</t>
    </r>
  </si>
  <si>
    <r>
      <t>CO</t>
    </r>
    <r>
      <rPr>
        <b/>
        <vertAlign val="subscript"/>
        <sz val="10"/>
        <color theme="0"/>
        <rFont val="Arial Narrow"/>
        <family val="2"/>
      </rPr>
      <t>2</t>
    </r>
  </si>
  <si>
    <t>Source: BCA Guidelines 2025</t>
  </si>
  <si>
    <t>Assumed values (based on trends BCA 2025 Guidelines from 2024-2054):</t>
  </si>
  <si>
    <t>Pollution Emission by Mode (g/Mile)</t>
  </si>
  <si>
    <t>Mode</t>
  </si>
  <si>
    <r>
      <t>SO</t>
    </r>
    <r>
      <rPr>
        <b/>
        <vertAlign val="subscript"/>
        <sz val="11"/>
        <color theme="0"/>
        <rFont val="Arial Narrow"/>
        <family val="2"/>
      </rPr>
      <t>2</t>
    </r>
    <r>
      <rPr>
        <b/>
        <sz val="11"/>
        <color theme="0"/>
        <rFont val="Arial Narrow"/>
        <family val="2"/>
      </rPr>
      <t xml:space="preserve"> Emission by Units</t>
    </r>
  </si>
  <si>
    <t>Conversions</t>
  </si>
  <si>
    <t>Automobile</t>
  </si>
  <si>
    <t>g / kg</t>
  </si>
  <si>
    <t>kg / gal</t>
  </si>
  <si>
    <t>Trucks - Diesel</t>
  </si>
  <si>
    <t>Bus - Diesel</t>
  </si>
  <si>
    <t>g / gal</t>
  </si>
  <si>
    <t>mpg by 2026</t>
  </si>
  <si>
    <t>Bus - CNG</t>
  </si>
  <si>
    <t>mpg</t>
  </si>
  <si>
    <t>Bus - Electric</t>
  </si>
  <si>
    <t>g / mi</t>
  </si>
  <si>
    <t>Source: Emissions rates obtained from FTA New and Small Starts Evaluation and Rating Process Final Policy Guidance (June 2016). Carbon dioxide equivalent (CO2e) includes carbon dioxide in addition to other common greenhouse gases standardized in units with social cost equivalent to carbon dioxide alone.</t>
  </si>
  <si>
    <t>Source: http://www.feat.biochem.du.edu/assets/databases/Cal/Tricity_NH3_SO2_NO2_2008_Report_ARB.pdf</t>
  </si>
  <si>
    <t>Source: Truck - Diesel rates obtained from EPA, Emissions Facts, Average In-Use Emisssions from Heavy-Duty Trucks, October 2008, Table 1</t>
  </si>
  <si>
    <t>Source: https://www.epa.gov/sites/production/files/2015-12/documents/emission-factors_nov_2015.pdf, Table 9</t>
  </si>
  <si>
    <t>EPA - Average In-Use Emissions from Heavy Duty Trucks - Table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</si>
</sst>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0.0000000000"/>
    <numFmt numFmtId="165" formatCode="_(&quot;$&quot;* #,##0_);_(&quot;$&quot;* \(#,##0\);_(&quot;$&quot;* &quot;-&quot;??_);_(@_)"/>
    <numFmt numFmtId="166" formatCode="&quot;$&quot;#,##0"/>
    <numFmt numFmtId="167" formatCode="#,##0.0"/>
    <numFmt numFmtId="168" formatCode="0.0"/>
    <numFmt numFmtId="169" formatCode="&quot;$&quot;#,##0.00"/>
    <numFmt numFmtId="170" formatCode="_(* #,##0_);_(* \(#,##0\);_(* &quot;-&quot;??_);_(@_)"/>
    <numFmt numFmtId="171" formatCode="0.0000"/>
    <numFmt numFmtId="172" formatCode="&quot;$&quot;#,##0.000"/>
    <numFmt numFmtId="173" formatCode="&quot;$&quot;#,##0.000000"/>
    <numFmt numFmtId="174" formatCode="0.0%"/>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2"/>
      <name val="Arial"/>
      <family val="2"/>
    </font>
    <font>
      <sz val="10"/>
      <name val="MS Sans Serif"/>
      <family val="2"/>
    </font>
    <font>
      <sz val="11"/>
      <color theme="1"/>
      <name val="Calibri"/>
      <family val="2"/>
      <scheme val="minor"/>
    </font>
    <font>
      <b/>
      <sz val="18"/>
      <color theme="1"/>
      <name val="Calibri"/>
      <family val="2"/>
      <scheme val="minor"/>
    </font>
    <font>
      <b/>
      <sz val="14"/>
      <color theme="1"/>
      <name val="Calibri"/>
      <family val="2"/>
      <scheme val="minor"/>
    </font>
    <font>
      <sz val="10"/>
      <name val="Arial Narrow"/>
      <family val="2"/>
    </font>
    <font>
      <b/>
      <sz val="10"/>
      <name val="Arial Narrow"/>
      <family val="2"/>
    </font>
    <font>
      <b/>
      <sz val="10"/>
      <color theme="0"/>
      <name val="Arial Narrow"/>
      <family val="2"/>
    </font>
    <font>
      <sz val="10"/>
      <color theme="0"/>
      <name val="Arial Narrow"/>
      <family val="2"/>
    </font>
    <font>
      <sz val="10"/>
      <color rgb="FFFF0000"/>
      <name val="Arial Narrow"/>
      <family val="2"/>
    </font>
    <font>
      <b/>
      <sz val="11"/>
      <color theme="0"/>
      <name val="Arial Narrow"/>
      <family val="2"/>
    </font>
    <font>
      <sz val="12"/>
      <name val="Arial Narrow"/>
      <family val="2"/>
    </font>
    <font>
      <b/>
      <sz val="11"/>
      <name val="Arial Narrow"/>
      <family val="2"/>
    </font>
    <font>
      <sz val="11"/>
      <color theme="1"/>
      <name val="Arial Narrow"/>
      <family val="2"/>
    </font>
    <font>
      <b/>
      <sz val="8"/>
      <name val="Arial Narrow"/>
      <family val="2"/>
    </font>
    <font>
      <b/>
      <sz val="12"/>
      <name val="Arial Narrow"/>
      <family val="2"/>
    </font>
    <font>
      <i/>
      <sz val="10"/>
      <name val="Arial Narrow"/>
      <family val="2"/>
    </font>
    <font>
      <b/>
      <sz val="14"/>
      <name val="Arial Narrow"/>
      <family val="2"/>
    </font>
    <font>
      <b/>
      <sz val="12"/>
      <color theme="0"/>
      <name val="Arial Narrow"/>
      <family val="2"/>
    </font>
    <font>
      <b/>
      <sz val="16"/>
      <name val="Arial Narrow"/>
      <family val="2"/>
    </font>
    <font>
      <i/>
      <sz val="10"/>
      <name val="Arial"/>
      <family val="2"/>
    </font>
    <font>
      <b/>
      <sz val="14"/>
      <name val="Arial"/>
      <family val="2"/>
    </font>
    <font>
      <b/>
      <sz val="8"/>
      <color theme="1"/>
      <name val="Calibri"/>
      <family val="2"/>
      <scheme val="minor"/>
    </font>
    <font>
      <sz val="8"/>
      <color theme="1"/>
      <name val="Calibri"/>
      <family val="2"/>
      <scheme val="minor"/>
    </font>
    <font>
      <i/>
      <sz val="8"/>
      <color theme="1"/>
      <name val="Calibri"/>
      <family val="2"/>
      <scheme val="minor"/>
    </font>
    <font>
      <b/>
      <sz val="14"/>
      <color theme="1"/>
      <name val="Arial"/>
      <family val="2"/>
    </font>
    <font>
      <b/>
      <sz val="10"/>
      <color theme="1"/>
      <name val="Calibri"/>
      <family val="2"/>
      <scheme val="minor"/>
    </font>
    <font>
      <i/>
      <sz val="10"/>
      <color theme="1"/>
      <name val="Calibri"/>
      <family val="2"/>
      <scheme val="minor"/>
    </font>
    <font>
      <sz val="10"/>
      <color theme="1"/>
      <name val="Calibri"/>
      <family val="2"/>
      <scheme val="minor"/>
    </font>
    <font>
      <b/>
      <sz val="20"/>
      <color theme="1"/>
      <name val="Calibri"/>
      <family val="2"/>
      <scheme val="minor"/>
    </font>
    <font>
      <b/>
      <sz val="9"/>
      <color indexed="81"/>
      <name val="Tahoma"/>
      <family val="2"/>
    </font>
    <font>
      <sz val="9"/>
      <color indexed="81"/>
      <name val="Tahoma"/>
      <family val="2"/>
    </font>
    <font>
      <u/>
      <sz val="10"/>
      <color theme="10"/>
      <name val="Arial"/>
      <family val="2"/>
    </font>
    <font>
      <u/>
      <sz val="11"/>
      <color theme="10"/>
      <name val="Calibri"/>
      <family val="2"/>
      <scheme val="minor"/>
    </font>
    <font>
      <sz val="8"/>
      <name val="Arial Narrow"/>
      <family val="2"/>
    </font>
    <font>
      <sz val="10"/>
      <color theme="1"/>
      <name val="Arial Narrow"/>
      <family val="2"/>
    </font>
    <font>
      <b/>
      <sz val="10"/>
      <color theme="1"/>
      <name val="Arial Narrow"/>
      <family val="2"/>
    </font>
    <font>
      <b/>
      <vertAlign val="subscript"/>
      <sz val="10"/>
      <color theme="0"/>
      <name val="Arial Narrow"/>
      <family val="2"/>
    </font>
    <font>
      <u/>
      <sz val="10"/>
      <name val="Arial"/>
      <family val="2"/>
    </font>
    <font>
      <sz val="12"/>
      <name val="Arial"/>
      <family val="2"/>
    </font>
    <font>
      <b/>
      <vertAlign val="subscript"/>
      <sz val="11"/>
      <color theme="0"/>
      <name val="Arial Narrow"/>
      <family val="2"/>
    </font>
    <font>
      <b/>
      <sz val="12"/>
      <color rgb="FF0070C0"/>
      <name val="Arial"/>
      <family val="2"/>
    </font>
    <font>
      <b/>
      <sz val="11"/>
      <color theme="1"/>
      <name val="Arial"/>
      <family val="2"/>
    </font>
    <font>
      <b/>
      <u/>
      <sz val="10"/>
      <name val="Arial Narrow"/>
      <family val="2"/>
    </font>
    <font>
      <sz val="16"/>
      <name val="Arial Narrow"/>
      <family val="2"/>
    </font>
    <font>
      <b/>
      <sz val="11"/>
      <name val="Calibri"/>
      <family val="2"/>
      <scheme val="minor"/>
    </font>
    <font>
      <sz val="11"/>
      <name val="Calibri"/>
      <family val="2"/>
      <scheme val="minor"/>
    </font>
    <font>
      <sz val="11"/>
      <color rgb="FF0000FF"/>
      <name val="Calibri"/>
      <family val="2"/>
      <scheme val="minor"/>
    </font>
    <font>
      <i/>
      <sz val="11"/>
      <name val="Calibri"/>
      <family val="2"/>
      <scheme val="minor"/>
    </font>
    <font>
      <b/>
      <sz val="12"/>
      <name val="Calibri"/>
      <family val="2"/>
      <scheme val="minor"/>
    </font>
  </fonts>
  <fills count="2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EF5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1"/>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6"/>
        <bgColor indexed="64"/>
      </patternFill>
    </fill>
    <fill>
      <patternFill patternType="solid">
        <fgColor theme="9"/>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6" tint="0.39997558519241921"/>
        <bgColor indexed="64"/>
      </patternFill>
    </fill>
  </fills>
  <borders count="7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6">
    <xf numFmtId="0" fontId="0" fillId="0" borderId="0"/>
    <xf numFmtId="0" fontId="9" fillId="0" borderId="0" applyNumberFormat="0" applyAlignment="0"/>
    <xf numFmtId="43" fontId="13" fillId="0" borderId="0" applyFont="0" applyFill="0" applyBorder="0" applyAlignment="0" applyProtection="0"/>
    <xf numFmtId="44" fontId="8" fillId="0" borderId="0" applyFont="0" applyFill="0" applyBorder="0" applyAlignment="0" applyProtection="0"/>
    <xf numFmtId="38" fontId="9"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9" fillId="3" borderId="3" applyNumberFormat="0" applyBorder="0" applyAlignment="0" applyProtection="0"/>
    <xf numFmtId="164" fontId="8" fillId="0" borderId="0"/>
    <xf numFmtId="0" fontId="8" fillId="0" borderId="0"/>
    <xf numFmtId="9" fontId="8" fillId="0" borderId="0" applyFont="0" applyFill="0" applyBorder="0" applyAlignment="0" applyProtection="0"/>
    <xf numFmtId="10" fontId="8" fillId="0" borderId="0" applyFont="0" applyFill="0" applyBorder="0" applyAlignment="0" applyProtection="0"/>
    <xf numFmtId="0" fontId="12" fillId="0" borderId="0" applyNumberFormat="0" applyFont="0" applyFill="0" applyBorder="0" applyAlignment="0" applyProtection="0">
      <alignment horizontal="left"/>
    </xf>
    <xf numFmtId="0" fontId="8" fillId="0" borderId="0"/>
    <xf numFmtId="43" fontId="8" fillId="0" borderId="0" applyFont="0" applyFill="0" applyBorder="0" applyAlignment="0" applyProtection="0"/>
    <xf numFmtId="0" fontId="7" fillId="0" borderId="0"/>
    <xf numFmtId="0" fontId="7" fillId="0" borderId="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4" fontId="8" fillId="0" borderId="0" applyFont="0" applyFill="0" applyBorder="0" applyAlignment="0" applyProtection="0"/>
    <xf numFmtId="0" fontId="8" fillId="0" borderId="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43" fillId="0" borderId="0" applyNumberForma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44" fillId="0" borderId="0" applyNumberForma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800">
    <xf numFmtId="0" fontId="0" fillId="0" borderId="0" xfId="0"/>
    <xf numFmtId="0" fontId="8" fillId="0" borderId="0" xfId="0" applyFont="1"/>
    <xf numFmtId="0" fontId="0" fillId="0" borderId="0" xfId="0" applyAlignment="1"/>
    <xf numFmtId="0" fontId="8" fillId="0" borderId="0" xfId="0" applyFont="1" applyFill="1" applyBorder="1"/>
    <xf numFmtId="0" fontId="8" fillId="0" borderId="0" xfId="0" applyFont="1" applyFill="1" applyBorder="1" applyAlignment="1">
      <alignment horizontal="center"/>
    </xf>
    <xf numFmtId="0" fontId="8" fillId="0" borderId="0" xfId="0" applyFont="1" applyFill="1" applyBorder="1" applyAlignment="1">
      <alignment vertical="center"/>
    </xf>
    <xf numFmtId="0" fontId="0" fillId="0" borderId="0" xfId="0" applyFill="1"/>
    <xf numFmtId="0" fontId="0" fillId="0" borderId="0" xfId="0" applyFill="1" applyBorder="1"/>
    <xf numFmtId="0" fontId="8" fillId="0" borderId="0" xfId="0" applyFont="1" applyAlignment="1"/>
    <xf numFmtId="0" fontId="8" fillId="0" borderId="0" xfId="0" applyFont="1" applyFill="1"/>
    <xf numFmtId="0" fontId="16" fillId="0" borderId="0" xfId="13" applyFont="1" applyFill="1" applyBorder="1"/>
    <xf numFmtId="0" fontId="16" fillId="0" borderId="0" xfId="13" applyFont="1" applyBorder="1"/>
    <xf numFmtId="0" fontId="23" fillId="0" borderId="0" xfId="13" applyFont="1" applyFill="1" applyBorder="1" applyAlignment="1"/>
    <xf numFmtId="0" fontId="18" fillId="0" borderId="0" xfId="13" applyFont="1" applyFill="1" applyBorder="1" applyAlignment="1"/>
    <xf numFmtId="0" fontId="24" fillId="0" borderId="0" xfId="25" applyFont="1" applyAlignment="1">
      <alignment horizontal="center"/>
    </xf>
    <xf numFmtId="0" fontId="24" fillId="0" borderId="0" xfId="25" applyFont="1"/>
    <xf numFmtId="5" fontId="16" fillId="0" borderId="0" xfId="13" applyNumberFormat="1" applyFont="1" applyFill="1" applyBorder="1"/>
    <xf numFmtId="0" fontId="20" fillId="0" borderId="0" xfId="13" applyFont="1" applyFill="1" applyBorder="1"/>
    <xf numFmtId="0" fontId="24" fillId="0" borderId="0" xfId="25" applyFont="1" applyAlignment="1">
      <alignment horizontal="left"/>
    </xf>
    <xf numFmtId="0" fontId="17" fillId="9" borderId="16" xfId="0" applyFont="1" applyFill="1" applyBorder="1" applyAlignment="1">
      <alignment horizontal="center"/>
    </xf>
    <xf numFmtId="0" fontId="17" fillId="9" borderId="5" xfId="0" applyFont="1" applyFill="1" applyBorder="1" applyAlignment="1">
      <alignment horizontal="center"/>
    </xf>
    <xf numFmtId="5" fontId="22" fillId="0" borderId="5" xfId="3" applyNumberFormat="1" applyFont="1" applyFill="1" applyBorder="1" applyAlignment="1">
      <alignment horizontal="center" vertical="center"/>
    </xf>
    <xf numFmtId="2" fontId="22" fillId="0" borderId="5" xfId="9" applyNumberFormat="1" applyFont="1" applyFill="1" applyBorder="1" applyAlignment="1">
      <alignment horizontal="center" vertical="center"/>
    </xf>
    <xf numFmtId="3" fontId="16" fillId="5" borderId="16" xfId="0" applyNumberFormat="1" applyFont="1" applyFill="1" applyBorder="1" applyAlignment="1">
      <alignment horizontal="center"/>
    </xf>
    <xf numFmtId="9" fontId="16" fillId="0" borderId="16" xfId="10" applyFont="1" applyFill="1" applyBorder="1" applyAlignment="1">
      <alignment horizontal="center"/>
    </xf>
    <xf numFmtId="9" fontId="16" fillId="0" borderId="14" xfId="10" applyFont="1" applyFill="1" applyBorder="1" applyAlignment="1">
      <alignment horizontal="center"/>
    </xf>
    <xf numFmtId="9" fontId="17" fillId="0" borderId="5" xfId="0" applyNumberFormat="1" applyFont="1" applyFill="1" applyBorder="1" applyAlignment="1">
      <alignment horizontal="center"/>
    </xf>
    <xf numFmtId="0" fontId="18" fillId="8" borderId="3" xfId="13" applyFont="1" applyFill="1" applyBorder="1"/>
    <xf numFmtId="5" fontId="19" fillId="8" borderId="3" xfId="13" applyNumberFormat="1" applyFont="1" applyFill="1" applyBorder="1" applyAlignment="1">
      <alignment horizontal="center"/>
    </xf>
    <xf numFmtId="0" fontId="17" fillId="9" borderId="3" xfId="13" applyFont="1" applyFill="1" applyBorder="1"/>
    <xf numFmtId="0" fontId="16" fillId="0" borderId="3" xfId="13" applyFont="1" applyFill="1" applyBorder="1"/>
    <xf numFmtId="166" fontId="16" fillId="4" borderId="3" xfId="3" applyNumberFormat="1" applyFont="1" applyFill="1" applyBorder="1" applyAlignment="1">
      <alignment horizontal="right" vertical="center"/>
    </xf>
    <xf numFmtId="166" fontId="16" fillId="5" borderId="3" xfId="3" applyNumberFormat="1" applyFont="1" applyFill="1" applyBorder="1" applyAlignment="1">
      <alignment horizontal="right" vertical="center"/>
    </xf>
    <xf numFmtId="0" fontId="17" fillId="9" borderId="29" xfId="0" applyFont="1" applyFill="1" applyBorder="1" applyAlignment="1">
      <alignment horizontal="center"/>
    </xf>
    <xf numFmtId="9" fontId="16" fillId="0" borderId="29" xfId="10" applyFont="1" applyFill="1" applyBorder="1" applyAlignment="1">
      <alignment horizontal="center"/>
    </xf>
    <xf numFmtId="0" fontId="17" fillId="9" borderId="7" xfId="0" applyFont="1" applyFill="1" applyBorder="1" applyAlignment="1">
      <alignment horizontal="center"/>
    </xf>
    <xf numFmtId="0" fontId="10" fillId="0" borderId="0" xfId="0" applyFont="1" applyFill="1" applyBorder="1" applyAlignment="1"/>
    <xf numFmtId="0" fontId="8" fillId="0" borderId="0" xfId="0" applyFont="1" applyFill="1" applyBorder="1" applyAlignment="1"/>
    <xf numFmtId="0" fontId="17" fillId="0" borderId="0" xfId="13" applyFont="1" applyFill="1" applyBorder="1" applyAlignment="1"/>
    <xf numFmtId="0" fontId="16" fillId="0" borderId="0" xfId="13" applyFont="1"/>
    <xf numFmtId="0" fontId="17" fillId="10" borderId="3" xfId="13" applyFont="1" applyFill="1" applyBorder="1" applyAlignment="1"/>
    <xf numFmtId="0" fontId="16" fillId="0" borderId="0" xfId="13" applyFont="1" applyAlignment="1"/>
    <xf numFmtId="0" fontId="17" fillId="0" borderId="0" xfId="13" applyFont="1" applyFill="1" applyBorder="1" applyAlignment="1">
      <alignment horizontal="left"/>
    </xf>
    <xf numFmtId="0" fontId="18" fillId="8" borderId="6" xfId="13" applyFont="1" applyFill="1" applyBorder="1" applyAlignment="1">
      <alignment horizontal="center" vertical="center" wrapText="1"/>
    </xf>
    <xf numFmtId="0" fontId="17" fillId="10" borderId="16" xfId="13" applyFont="1" applyFill="1" applyBorder="1" applyAlignment="1">
      <alignment horizontal="center"/>
    </xf>
    <xf numFmtId="3" fontId="16" fillId="0" borderId="16" xfId="13" applyNumberFormat="1" applyFont="1" applyFill="1" applyBorder="1" applyAlignment="1">
      <alignment horizontal="center"/>
    </xf>
    <xf numFmtId="3" fontId="16" fillId="5" borderId="16" xfId="13" applyNumberFormat="1" applyFont="1" applyFill="1" applyBorder="1" applyAlignment="1">
      <alignment horizontal="center"/>
    </xf>
    <xf numFmtId="0" fontId="17" fillId="10" borderId="14" xfId="13" applyFont="1" applyFill="1" applyBorder="1" applyAlignment="1">
      <alignment horizontal="center"/>
    </xf>
    <xf numFmtId="3" fontId="16" fillId="5" borderId="23" xfId="13" applyNumberFormat="1" applyFont="1" applyFill="1" applyBorder="1" applyAlignment="1">
      <alignment horizontal="center"/>
    </xf>
    <xf numFmtId="165" fontId="17" fillId="0" borderId="16" xfId="3" applyNumberFormat="1" applyFont="1" applyFill="1" applyBorder="1"/>
    <xf numFmtId="0" fontId="17" fillId="10" borderId="29" xfId="13" applyFont="1" applyFill="1" applyBorder="1" applyAlignment="1">
      <alignment horizontal="center"/>
    </xf>
    <xf numFmtId="3" fontId="16" fillId="0" borderId="29" xfId="13" applyNumberFormat="1" applyFont="1" applyFill="1" applyBorder="1" applyAlignment="1">
      <alignment horizontal="center"/>
    </xf>
    <xf numFmtId="3" fontId="16" fillId="5" borderId="29" xfId="13" applyNumberFormat="1" applyFont="1" applyFill="1" applyBorder="1" applyAlignment="1">
      <alignment horizontal="center"/>
    </xf>
    <xf numFmtId="165" fontId="17" fillId="0" borderId="29" xfId="3" applyNumberFormat="1" applyFont="1" applyFill="1" applyBorder="1"/>
    <xf numFmtId="165" fontId="17" fillId="0" borderId="5" xfId="3" applyNumberFormat="1" applyFont="1" applyFill="1" applyBorder="1"/>
    <xf numFmtId="165" fontId="17" fillId="5" borderId="5" xfId="3" applyNumberFormat="1" applyFont="1" applyFill="1" applyBorder="1"/>
    <xf numFmtId="10" fontId="26" fillId="7" borderId="3" xfId="13" applyNumberFormat="1" applyFont="1" applyFill="1" applyBorder="1" applyAlignment="1">
      <alignment horizontal="center"/>
    </xf>
    <xf numFmtId="6" fontId="26" fillId="7" borderId="3" xfId="13" applyNumberFormat="1" applyFont="1" applyFill="1" applyBorder="1" applyAlignment="1">
      <alignment horizontal="center"/>
    </xf>
    <xf numFmtId="40" fontId="30" fillId="7" borderId="3" xfId="13" applyNumberFormat="1" applyFont="1" applyFill="1" applyBorder="1" applyAlignment="1">
      <alignment horizontal="center"/>
    </xf>
    <xf numFmtId="3" fontId="16" fillId="0" borderId="14" xfId="13" applyNumberFormat="1" applyFont="1" applyFill="1" applyBorder="1" applyAlignment="1">
      <alignment horizontal="center"/>
    </xf>
    <xf numFmtId="0" fontId="17" fillId="10" borderId="13" xfId="13" applyFont="1" applyFill="1" applyBorder="1" applyAlignment="1">
      <alignment horizontal="center"/>
    </xf>
    <xf numFmtId="3" fontId="16" fillId="0" borderId="13" xfId="13" applyNumberFormat="1" applyFont="1" applyFill="1" applyBorder="1" applyAlignment="1">
      <alignment horizontal="center"/>
    </xf>
    <xf numFmtId="0" fontId="10" fillId="0" borderId="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xf>
    <xf numFmtId="0" fontId="10" fillId="0" borderId="0" xfId="0" applyFont="1" applyFill="1" applyBorder="1" applyAlignment="1">
      <alignment wrapText="1"/>
    </xf>
    <xf numFmtId="0" fontId="10" fillId="0" borderId="3" xfId="0" applyFont="1" applyFill="1" applyBorder="1" applyAlignment="1">
      <alignment horizontal="center" vertical="center"/>
    </xf>
    <xf numFmtId="0" fontId="10" fillId="4" borderId="3" xfId="0" applyFont="1" applyFill="1" applyBorder="1" applyAlignment="1">
      <alignment horizontal="center" vertical="center"/>
    </xf>
    <xf numFmtId="0" fontId="10" fillId="0"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8" fillId="0" borderId="8" xfId="0" applyFont="1" applyBorder="1" applyAlignment="1"/>
    <xf numFmtId="1" fontId="10" fillId="4" borderId="3"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xf>
    <xf numFmtId="2" fontId="10" fillId="0" borderId="0"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10" fillId="0" borderId="3" xfId="0" applyFont="1" applyFill="1" applyBorder="1" applyAlignment="1"/>
    <xf numFmtId="9" fontId="10" fillId="4" borderId="3" xfId="10" applyFont="1" applyFill="1" applyBorder="1" applyAlignment="1"/>
    <xf numFmtId="0" fontId="0" fillId="0" borderId="0" xfId="0" applyAlignment="1">
      <alignment horizontal="center"/>
    </xf>
    <xf numFmtId="0" fontId="0" fillId="0" borderId="16" xfId="0" applyBorder="1" applyAlignment="1">
      <alignment horizontal="center"/>
    </xf>
    <xf numFmtId="3" fontId="0" fillId="0" borderId="16" xfId="0" applyNumberFormat="1" applyFill="1" applyBorder="1" applyAlignment="1">
      <alignment horizontal="center"/>
    </xf>
    <xf numFmtId="3" fontId="0" fillId="0" borderId="16" xfId="0" applyNumberFormat="1" applyBorder="1" applyAlignment="1">
      <alignment horizontal="center"/>
    </xf>
    <xf numFmtId="44" fontId="0" fillId="0" borderId="16" xfId="3" applyFont="1" applyBorder="1"/>
    <xf numFmtId="0" fontId="0" fillId="0" borderId="14" xfId="0" applyBorder="1" applyAlignment="1">
      <alignment horizontal="center"/>
    </xf>
    <xf numFmtId="9" fontId="10" fillId="0" borderId="0" xfId="10" applyFont="1" applyFill="1" applyBorder="1" applyAlignment="1"/>
    <xf numFmtId="9"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3" applyNumberFormat="1" applyFont="1" applyFill="1" applyBorder="1" applyAlignment="1">
      <alignment horizontal="right"/>
    </xf>
    <xf numFmtId="44" fontId="8" fillId="0" borderId="3" xfId="3" applyFont="1" applyFill="1" applyBorder="1"/>
    <xf numFmtId="0" fontId="31" fillId="0" borderId="0" xfId="0" applyFont="1" applyFill="1" applyBorder="1" applyAlignment="1"/>
    <xf numFmtId="0" fontId="8" fillId="0" borderId="0" xfId="0" applyFont="1" applyFill="1" applyBorder="1" applyAlignment="1">
      <alignment vertical="center" wrapText="1"/>
    </xf>
    <xf numFmtId="44" fontId="0" fillId="0" borderId="0" xfId="3" applyFont="1" applyFill="1" applyBorder="1"/>
    <xf numFmtId="3" fontId="0" fillId="0" borderId="0" xfId="0" applyNumberFormat="1" applyFill="1" applyBorder="1" applyAlignment="1">
      <alignment horizontal="center"/>
    </xf>
    <xf numFmtId="0" fontId="34" fillId="13" borderId="19" xfId="26" applyFont="1" applyFill="1" applyBorder="1" applyAlignment="1"/>
    <xf numFmtId="0" fontId="34" fillId="13" borderId="32" xfId="26" applyFont="1" applyFill="1" applyBorder="1" applyAlignment="1"/>
    <xf numFmtId="0" fontId="33" fillId="13" borderId="19" xfId="26" applyFont="1" applyFill="1" applyBorder="1" applyAlignment="1"/>
    <xf numFmtId="0" fontId="33" fillId="13" borderId="32" xfId="26" applyFont="1" applyFill="1" applyBorder="1" applyAlignment="1">
      <alignment wrapText="1"/>
    </xf>
    <xf numFmtId="0" fontId="34" fillId="13" borderId="19" xfId="26" applyFont="1" applyFill="1" applyBorder="1" applyAlignment="1">
      <alignment horizontal="left"/>
    </xf>
    <xf numFmtId="0" fontId="34" fillId="13" borderId="32" xfId="26" applyFont="1" applyFill="1" applyBorder="1" applyAlignment="1">
      <alignment wrapText="1"/>
    </xf>
    <xf numFmtId="0" fontId="33" fillId="13" borderId="32" xfId="26" applyFont="1" applyFill="1" applyBorder="1" applyAlignment="1"/>
    <xf numFmtId="0" fontId="34" fillId="6" borderId="0" xfId="26" applyFont="1" applyFill="1" applyBorder="1" applyAlignment="1"/>
    <xf numFmtId="0" fontId="35" fillId="13" borderId="32" xfId="26" applyFont="1" applyFill="1" applyBorder="1" applyAlignment="1"/>
    <xf numFmtId="0" fontId="34" fillId="6" borderId="19" xfId="26" applyFont="1" applyFill="1" applyBorder="1" applyAlignment="1"/>
    <xf numFmtId="3" fontId="34" fillId="13" borderId="19" xfId="26" applyNumberFormat="1" applyFont="1" applyFill="1" applyBorder="1" applyAlignment="1"/>
    <xf numFmtId="167" fontId="34" fillId="13" borderId="21" xfId="26" applyNumberFormat="1" applyFont="1" applyFill="1" applyBorder="1" applyAlignment="1"/>
    <xf numFmtId="0" fontId="35" fillId="13" borderId="22" xfId="26" applyFont="1" applyFill="1" applyBorder="1" applyAlignment="1"/>
    <xf numFmtId="0" fontId="0" fillId="0" borderId="13" xfId="0" applyBorder="1" applyAlignment="1">
      <alignment horizontal="center"/>
    </xf>
    <xf numFmtId="0" fontId="8" fillId="0" borderId="3" xfId="0" applyFont="1" applyBorder="1" applyAlignment="1"/>
    <xf numFmtId="44" fontId="0" fillId="0" borderId="3" xfId="3" applyFont="1" applyBorder="1"/>
    <xf numFmtId="0" fontId="0" fillId="0" borderId="0" xfId="0" applyBorder="1" applyAlignment="1">
      <alignment horizontal="center"/>
    </xf>
    <xf numFmtId="3" fontId="0" fillId="0" borderId="0" xfId="0" applyNumberFormat="1" applyBorder="1" applyAlignment="1">
      <alignment horizontal="center"/>
    </xf>
    <xf numFmtId="44" fontId="0" fillId="0" borderId="0" xfId="3" applyFont="1" applyBorder="1"/>
    <xf numFmtId="0" fontId="35" fillId="13" borderId="19" xfId="26" applyFont="1" applyFill="1" applyBorder="1" applyAlignment="1"/>
    <xf numFmtId="0" fontId="35" fillId="13" borderId="0" xfId="26" applyFont="1" applyFill="1" applyBorder="1" applyAlignment="1"/>
    <xf numFmtId="0" fontId="33" fillId="13" borderId="0" xfId="26" applyFont="1" applyFill="1" applyBorder="1" applyAlignment="1"/>
    <xf numFmtId="0" fontId="34" fillId="13" borderId="0" xfId="26" applyFont="1" applyFill="1" applyBorder="1" applyAlignment="1"/>
    <xf numFmtId="3" fontId="34" fillId="13" borderId="32" xfId="26" applyNumberFormat="1" applyFont="1" applyFill="1" applyBorder="1" applyAlignment="1"/>
    <xf numFmtId="0" fontId="34" fillId="13" borderId="32" xfId="26" applyFont="1" applyFill="1" applyBorder="1" applyAlignment="1">
      <alignment horizontal="right"/>
    </xf>
    <xf numFmtId="44" fontId="0" fillId="0" borderId="0" xfId="3" applyFont="1" applyBorder="1" applyAlignment="1"/>
    <xf numFmtId="44" fontId="0" fillId="0" borderId="0" xfId="3" applyFont="1" applyFill="1" applyBorder="1" applyAlignment="1"/>
    <xf numFmtId="0" fontId="8" fillId="0" borderId="31" xfId="0" applyFont="1" applyBorder="1" applyAlignment="1">
      <alignment horizontal="center" vertical="center" wrapText="1"/>
    </xf>
    <xf numFmtId="3" fontId="0" fillId="0" borderId="23" xfId="0" applyNumberFormat="1" applyBorder="1" applyAlignment="1">
      <alignment horizontal="center"/>
    </xf>
    <xf numFmtId="168" fontId="34" fillId="13" borderId="32" xfId="26" applyNumberFormat="1" applyFont="1" applyFill="1" applyBorder="1" applyAlignment="1"/>
    <xf numFmtId="168" fontId="34" fillId="13" borderId="0" xfId="26" applyNumberFormat="1" applyFont="1" applyFill="1" applyBorder="1" applyAlignment="1"/>
    <xf numFmtId="0" fontId="8" fillId="0" borderId="0" xfId="0" applyFont="1" applyBorder="1" applyAlignment="1">
      <alignment horizontal="right"/>
    </xf>
    <xf numFmtId="44" fontId="0" fillId="0" borderId="0" xfId="0" applyNumberFormat="1"/>
    <xf numFmtId="0" fontId="35" fillId="13" borderId="21" xfId="26" applyFont="1" applyFill="1" applyBorder="1" applyAlignment="1"/>
    <xf numFmtId="0" fontId="35" fillId="13" borderId="20" xfId="26" applyFont="1" applyFill="1" applyBorder="1" applyAlignment="1"/>
    <xf numFmtId="0" fontId="33" fillId="13" borderId="20" xfId="26" applyFont="1" applyFill="1" applyBorder="1" applyAlignment="1"/>
    <xf numFmtId="0" fontId="34" fillId="14" borderId="20" xfId="26" applyFont="1" applyFill="1" applyBorder="1" applyAlignment="1">
      <alignment horizontal="right"/>
    </xf>
    <xf numFmtId="0" fontId="34" fillId="13" borderId="22" xfId="26" applyFont="1" applyFill="1" applyBorder="1" applyAlignment="1"/>
    <xf numFmtId="0" fontId="35" fillId="0" borderId="0" xfId="26" applyFont="1" applyFill="1" applyBorder="1" applyAlignment="1"/>
    <xf numFmtId="0" fontId="33" fillId="0" borderId="0" xfId="26" applyFont="1" applyFill="1" applyBorder="1" applyAlignment="1"/>
    <xf numFmtId="0" fontId="34" fillId="0" borderId="0" xfId="26" applyFont="1" applyFill="1" applyAlignment="1"/>
    <xf numFmtId="0" fontId="8" fillId="0" borderId="0" xfId="0" applyFont="1" applyBorder="1" applyAlignment="1">
      <alignment vertical="center" wrapText="1"/>
    </xf>
    <xf numFmtId="3" fontId="0" fillId="0" borderId="0" xfId="0" applyNumberFormat="1" applyFill="1" applyBorder="1" applyAlignment="1"/>
    <xf numFmtId="2" fontId="34" fillId="13" borderId="32" xfId="26" applyNumberFormat="1" applyFont="1" applyFill="1" applyBorder="1" applyAlignment="1"/>
    <xf numFmtId="2" fontId="34" fillId="13" borderId="0" xfId="26" applyNumberFormat="1" applyFont="1" applyFill="1" applyBorder="1" applyAlignment="1"/>
    <xf numFmtId="3" fontId="34" fillId="0" borderId="0" xfId="26" applyNumberFormat="1" applyFont="1" applyFill="1" applyBorder="1" applyAlignment="1"/>
    <xf numFmtId="0" fontId="34" fillId="0" borderId="0" xfId="26" applyFont="1" applyFill="1" applyBorder="1" applyAlignment="1"/>
    <xf numFmtId="0" fontId="37" fillId="13" borderId="12" xfId="26" applyFont="1" applyFill="1" applyBorder="1" applyAlignment="1"/>
    <xf numFmtId="0" fontId="38" fillId="13" borderId="2" xfId="26" applyFont="1" applyFill="1" applyBorder="1" applyAlignment="1"/>
    <xf numFmtId="0" fontId="37" fillId="13" borderId="2" xfId="26" applyFont="1" applyFill="1" applyBorder="1" applyAlignment="1"/>
    <xf numFmtId="0" fontId="39" fillId="13" borderId="2" xfId="26" applyFont="1" applyFill="1" applyBorder="1" applyAlignment="1"/>
    <xf numFmtId="0" fontId="39" fillId="13" borderId="9" xfId="26" applyFont="1" applyFill="1" applyBorder="1" applyAlignment="1"/>
    <xf numFmtId="0" fontId="38" fillId="13" borderId="19" xfId="26" applyFont="1" applyFill="1" applyBorder="1" applyAlignment="1"/>
    <xf numFmtId="0" fontId="38" fillId="13" borderId="0" xfId="26" applyFont="1" applyFill="1" applyBorder="1" applyAlignment="1"/>
    <xf numFmtId="0" fontId="37" fillId="13" borderId="0" xfId="26" applyFont="1" applyFill="1" applyBorder="1" applyAlignment="1"/>
    <xf numFmtId="0" fontId="39" fillId="13" borderId="0" xfId="26" applyFont="1" applyFill="1" applyBorder="1" applyAlignment="1"/>
    <xf numFmtId="0" fontId="39" fillId="13" borderId="32" xfId="26" applyFont="1" applyFill="1" applyBorder="1" applyAlignment="1"/>
    <xf numFmtId="0" fontId="39" fillId="13" borderId="19" xfId="26" applyFont="1" applyFill="1" applyBorder="1" applyAlignment="1"/>
    <xf numFmtId="168" fontId="39" fillId="13" borderId="0" xfId="26" applyNumberFormat="1" applyFont="1" applyFill="1" applyBorder="1" applyAlignment="1"/>
    <xf numFmtId="0" fontId="39" fillId="13" borderId="0" xfId="26" applyFont="1" applyFill="1" applyBorder="1" applyAlignment="1">
      <alignment horizontal="right"/>
    </xf>
    <xf numFmtId="3" fontId="0" fillId="0" borderId="5" xfId="0" applyNumberFormat="1" applyBorder="1" applyAlignment="1">
      <alignment horizontal="center"/>
    </xf>
    <xf numFmtId="44" fontId="0" fillId="0" borderId="5" xfId="3" applyFont="1" applyBorder="1"/>
    <xf numFmtId="2" fontId="39" fillId="13" borderId="32" xfId="26" applyNumberFormat="1" applyFont="1" applyFill="1" applyBorder="1" applyAlignment="1"/>
    <xf numFmtId="0" fontId="39" fillId="13" borderId="21" xfId="26" applyFont="1" applyFill="1" applyBorder="1" applyAlignment="1"/>
    <xf numFmtId="168" fontId="39" fillId="13" borderId="20" xfId="26" applyNumberFormat="1" applyFont="1" applyFill="1" applyBorder="1" applyAlignment="1"/>
    <xf numFmtId="0" fontId="39" fillId="13" borderId="20" xfId="26" applyFont="1" applyFill="1" applyBorder="1" applyAlignment="1"/>
    <xf numFmtId="2" fontId="39" fillId="13" borderId="22" xfId="26" applyNumberFormat="1" applyFont="1" applyFill="1" applyBorder="1" applyAlignment="1"/>
    <xf numFmtId="0" fontId="0" fillId="0" borderId="0" xfId="0" applyFill="1" applyBorder="1" applyAlignment="1">
      <alignment horizontal="center"/>
    </xf>
    <xf numFmtId="0" fontId="35" fillId="11" borderId="0" xfId="26" applyFont="1" applyFill="1" applyBorder="1" applyAlignment="1"/>
    <xf numFmtId="0" fontId="34" fillId="11" borderId="0" xfId="26" applyFont="1" applyFill="1" applyBorder="1" applyAlignment="1"/>
    <xf numFmtId="0" fontId="33" fillId="11" borderId="0" xfId="26" applyFont="1" applyFill="1" applyBorder="1" applyAlignment="1"/>
    <xf numFmtId="168" fontId="34" fillId="11" borderId="0" xfId="26" applyNumberFormat="1" applyFont="1" applyFill="1" applyBorder="1" applyAlignment="1"/>
    <xf numFmtId="0" fontId="0" fillId="11" borderId="0" xfId="0" applyFill="1"/>
    <xf numFmtId="0" fontId="0" fillId="11" borderId="0" xfId="0" applyFill="1" applyAlignment="1"/>
    <xf numFmtId="0" fontId="34" fillId="0" borderId="0" xfId="26" applyFont="1" applyFill="1" applyBorder="1" applyAlignment="1">
      <alignment horizontal="right"/>
    </xf>
    <xf numFmtId="0" fontId="0" fillId="0" borderId="0" xfId="0" applyFill="1" applyBorder="1" applyAlignment="1"/>
    <xf numFmtId="1" fontId="8" fillId="4" borderId="3" xfId="27" applyNumberFormat="1" applyFont="1" applyFill="1" applyBorder="1" applyAlignment="1">
      <alignment horizontal="center"/>
    </xf>
    <xf numFmtId="1" fontId="8" fillId="0" borderId="3" xfId="0" applyNumberFormat="1" applyFont="1" applyFill="1" applyBorder="1" applyAlignment="1">
      <alignment horizontal="center" vertical="center"/>
    </xf>
    <xf numFmtId="0" fontId="10" fillId="0" borderId="0" xfId="0" applyFont="1" applyBorder="1" applyAlignment="1"/>
    <xf numFmtId="1" fontId="8" fillId="4" borderId="3" xfId="27" applyNumberFormat="1" applyFont="1" applyFill="1" applyBorder="1" applyAlignment="1">
      <alignment horizontal="center" vertical="center"/>
    </xf>
    <xf numFmtId="168" fontId="34" fillId="0" borderId="0" xfId="26" applyNumberFormat="1" applyFont="1" applyFill="1" applyBorder="1" applyAlignment="1"/>
    <xf numFmtId="1" fontId="8" fillId="0" borderId="3" xfId="27" applyNumberFormat="1" applyFont="1" applyFill="1" applyBorder="1" applyAlignment="1">
      <alignment horizontal="center"/>
    </xf>
    <xf numFmtId="1" fontId="8" fillId="4" borderId="3" xfId="0" applyNumberFormat="1" applyFont="1" applyFill="1" applyBorder="1" applyAlignment="1">
      <alignment horizontal="center" vertical="center"/>
    </xf>
    <xf numFmtId="0" fontId="8" fillId="5" borderId="3" xfId="0" applyFont="1" applyFill="1" applyBorder="1" applyAlignment="1">
      <alignment horizontal="center"/>
    </xf>
    <xf numFmtId="1" fontId="8" fillId="5" borderId="3" xfId="27" applyNumberFormat="1" applyFont="1" applyFill="1" applyBorder="1" applyAlignment="1">
      <alignment horizontal="center"/>
    </xf>
    <xf numFmtId="1" fontId="8" fillId="5" borderId="3" xfId="0" applyNumberFormat="1" applyFont="1" applyFill="1" applyBorder="1" applyAlignment="1">
      <alignment horizontal="center" vertical="center"/>
    </xf>
    <xf numFmtId="169" fontId="8" fillId="5" borderId="3" xfId="27" applyNumberFormat="1" applyFont="1" applyFill="1" applyBorder="1" applyAlignment="1">
      <alignment horizontal="center"/>
    </xf>
    <xf numFmtId="169" fontId="8" fillId="0" borderId="3" xfId="27" applyNumberFormat="1" applyFont="1" applyFill="1" applyBorder="1" applyAlignment="1">
      <alignment horizontal="center"/>
    </xf>
    <xf numFmtId="169" fontId="8" fillId="0" borderId="0" xfId="27" applyNumberFormat="1" applyFont="1" applyFill="1" applyBorder="1" applyAlignment="1">
      <alignment horizontal="center"/>
    </xf>
    <xf numFmtId="0" fontId="10" fillId="0" borderId="0" xfId="0" applyFont="1"/>
    <xf numFmtId="168" fontId="0" fillId="0" borderId="0" xfId="0" applyNumberFormat="1"/>
    <xf numFmtId="0" fontId="0" fillId="5" borderId="33" xfId="0" applyFill="1" applyBorder="1" applyAlignment="1"/>
    <xf numFmtId="9" fontId="0" fillId="5" borderId="37" xfId="0" applyNumberFormat="1" applyFill="1" applyBorder="1" applyAlignment="1"/>
    <xf numFmtId="0" fontId="0" fillId="0" borderId="38" xfId="0" applyBorder="1"/>
    <xf numFmtId="0" fontId="0" fillId="0" borderId="39" xfId="0" applyBorder="1"/>
    <xf numFmtId="0" fontId="0" fillId="0" borderId="40" xfId="0" applyBorder="1"/>
    <xf numFmtId="0" fontId="0" fillId="0" borderId="41" xfId="0" applyBorder="1"/>
    <xf numFmtId="1" fontId="0" fillId="0" borderId="22" xfId="0" applyNumberFormat="1" applyBorder="1"/>
    <xf numFmtId="0" fontId="0" fillId="0" borderId="42" xfId="0" applyBorder="1"/>
    <xf numFmtId="1" fontId="0" fillId="0" borderId="9" xfId="0" applyNumberFormat="1" applyBorder="1"/>
    <xf numFmtId="0" fontId="0" fillId="0" borderId="43" xfId="0" applyBorder="1"/>
    <xf numFmtId="0" fontId="0" fillId="0" borderId="30" xfId="0" applyBorder="1"/>
    <xf numFmtId="0" fontId="0" fillId="0" borderId="8" xfId="0" applyBorder="1"/>
    <xf numFmtId="0" fontId="0" fillId="0" borderId="44" xfId="0" applyBorder="1"/>
    <xf numFmtId="10" fontId="0" fillId="0" borderId="30" xfId="0" applyNumberFormat="1" applyBorder="1"/>
    <xf numFmtId="10" fontId="0" fillId="0" borderId="8" xfId="0" applyNumberFormat="1" applyBorder="1"/>
    <xf numFmtId="10" fontId="0" fillId="0" borderId="44" xfId="0" applyNumberFormat="1" applyBorder="1"/>
    <xf numFmtId="0" fontId="0" fillId="0" borderId="45" xfId="0" applyBorder="1"/>
    <xf numFmtId="168" fontId="0" fillId="0" borderId="46" xfId="0" applyNumberFormat="1" applyBorder="1"/>
    <xf numFmtId="168" fontId="0" fillId="0" borderId="39" xfId="0" applyNumberFormat="1" applyBorder="1"/>
    <xf numFmtId="168" fontId="0" fillId="0" borderId="40" xfId="0" applyNumberFormat="1" applyBorder="1"/>
    <xf numFmtId="1" fontId="0" fillId="4" borderId="28" xfId="0" applyNumberFormat="1" applyFill="1" applyBorder="1"/>
    <xf numFmtId="1" fontId="0" fillId="0" borderId="34" xfId="0" applyNumberFormat="1" applyBorder="1"/>
    <xf numFmtId="1" fontId="0" fillId="0" borderId="36" xfId="0" applyNumberFormat="1" applyBorder="1"/>
    <xf numFmtId="1" fontId="0" fillId="0" borderId="52" xfId="0" applyNumberFormat="1" applyBorder="1"/>
    <xf numFmtId="1" fontId="0" fillId="0" borderId="53" xfId="0" applyNumberFormat="1" applyBorder="1"/>
    <xf numFmtId="2" fontId="0" fillId="0" borderId="52" xfId="0" applyNumberFormat="1" applyBorder="1"/>
    <xf numFmtId="2" fontId="0" fillId="0" borderId="53" xfId="0" applyNumberFormat="1" applyBorder="1"/>
    <xf numFmtId="10" fontId="0" fillId="0" borderId="52" xfId="0" applyNumberFormat="1" applyBorder="1"/>
    <xf numFmtId="10" fontId="0" fillId="0" borderId="53" xfId="0" applyNumberFormat="1" applyBorder="1"/>
    <xf numFmtId="168" fontId="0" fillId="0" borderId="38" xfId="0" applyNumberFormat="1" applyBorder="1"/>
    <xf numFmtId="1" fontId="0" fillId="4" borderId="54" xfId="0" applyNumberFormat="1" applyFill="1" applyBorder="1"/>
    <xf numFmtId="0" fontId="0" fillId="5" borderId="40" xfId="0" applyFill="1" applyBorder="1"/>
    <xf numFmtId="1" fontId="0" fillId="0" borderId="50" xfId="0" applyNumberFormat="1" applyBorder="1"/>
    <xf numFmtId="1" fontId="0" fillId="0" borderId="35" xfId="0" applyNumberFormat="1" applyBorder="1"/>
    <xf numFmtId="1" fontId="0" fillId="0" borderId="3" xfId="0" applyNumberFormat="1" applyBorder="1"/>
    <xf numFmtId="0" fontId="0" fillId="0" borderId="59" xfId="0" applyBorder="1"/>
    <xf numFmtId="2" fontId="0" fillId="0" borderId="9" xfId="0" applyNumberFormat="1" applyBorder="1"/>
    <xf numFmtId="2" fontId="0" fillId="0" borderId="3" xfId="0" applyNumberFormat="1" applyBorder="1"/>
    <xf numFmtId="10" fontId="0" fillId="0" borderId="59" xfId="0" applyNumberFormat="1" applyBorder="1"/>
    <xf numFmtId="0" fontId="0" fillId="0" borderId="63" xfId="0" applyBorder="1"/>
    <xf numFmtId="0" fontId="8" fillId="0" borderId="47" xfId="0" applyFont="1" applyFill="1" applyBorder="1" applyAlignment="1">
      <alignment horizontal="center"/>
    </xf>
    <xf numFmtId="0" fontId="0" fillId="0" borderId="65" xfId="0" applyBorder="1"/>
    <xf numFmtId="10" fontId="0" fillId="4" borderId="65" xfId="0" applyNumberFormat="1" applyFill="1" applyBorder="1"/>
    <xf numFmtId="0" fontId="8" fillId="0" borderId="55" xfId="0" applyFont="1" applyFill="1" applyBorder="1" applyAlignment="1">
      <alignment horizontal="center"/>
    </xf>
    <xf numFmtId="0" fontId="8" fillId="0" borderId="5" xfId="0" applyFont="1" applyFill="1" applyBorder="1" applyAlignment="1">
      <alignment horizontal="center"/>
    </xf>
    <xf numFmtId="0" fontId="8" fillId="0" borderId="56" xfId="0" applyFont="1" applyFill="1" applyBorder="1" applyAlignment="1">
      <alignment horizontal="center"/>
    </xf>
    <xf numFmtId="10" fontId="0" fillId="4" borderId="63" xfId="0" applyNumberFormat="1" applyFill="1" applyBorder="1"/>
    <xf numFmtId="0" fontId="8" fillId="0" borderId="52" xfId="0" applyFont="1" applyFill="1" applyBorder="1" applyAlignment="1">
      <alignment horizontal="center"/>
    </xf>
    <xf numFmtId="1" fontId="8" fillId="4" borderId="53" xfId="27" applyNumberFormat="1" applyFont="1" applyFill="1" applyBorder="1" applyAlignment="1">
      <alignment horizontal="center"/>
    </xf>
    <xf numFmtId="1" fontId="8" fillId="0" borderId="53" xfId="27" applyNumberFormat="1" applyFont="1" applyFill="1" applyBorder="1" applyAlignment="1">
      <alignment horizontal="center"/>
    </xf>
    <xf numFmtId="0" fontId="8" fillId="17" borderId="52" xfId="0" applyFont="1" applyFill="1" applyBorder="1" applyAlignment="1">
      <alignment horizontal="center"/>
    </xf>
    <xf numFmtId="1" fontId="8" fillId="17" borderId="3" xfId="27" applyNumberFormat="1" applyFont="1" applyFill="1" applyBorder="1" applyAlignment="1">
      <alignment horizontal="center"/>
    </xf>
    <xf numFmtId="1" fontId="8" fillId="17" borderId="53" xfId="27" applyNumberFormat="1" applyFont="1" applyFill="1" applyBorder="1" applyAlignment="1">
      <alignment horizontal="center"/>
    </xf>
    <xf numFmtId="0" fontId="8" fillId="0" borderId="38" xfId="0" applyFont="1" applyFill="1" applyBorder="1" applyAlignment="1">
      <alignment horizontal="center"/>
    </xf>
    <xf numFmtId="1" fontId="8" fillId="0" borderId="39" xfId="27" applyNumberFormat="1" applyFont="1" applyFill="1" applyBorder="1" applyAlignment="1">
      <alignment horizontal="center"/>
    </xf>
    <xf numFmtId="1" fontId="8" fillId="0" borderId="40" xfId="27" applyNumberFormat="1" applyFont="1" applyFill="1" applyBorder="1" applyAlignment="1">
      <alignment horizontal="center"/>
    </xf>
    <xf numFmtId="1" fontId="8" fillId="0" borderId="5" xfId="27" applyNumberFormat="1" applyFont="1" applyFill="1" applyBorder="1" applyAlignment="1">
      <alignment horizontal="center"/>
    </xf>
    <xf numFmtId="1" fontId="8" fillId="0" borderId="56" xfId="27" applyNumberFormat="1" applyFont="1" applyFill="1" applyBorder="1" applyAlignment="1">
      <alignment horizontal="center"/>
    </xf>
    <xf numFmtId="0" fontId="8" fillId="17" borderId="38" xfId="0" applyFont="1" applyFill="1" applyBorder="1" applyAlignment="1">
      <alignment horizontal="center"/>
    </xf>
    <xf numFmtId="1" fontId="8" fillId="17" borderId="39" xfId="27" applyNumberFormat="1" applyFont="1" applyFill="1" applyBorder="1" applyAlignment="1">
      <alignment horizontal="center"/>
    </xf>
    <xf numFmtId="1" fontId="8" fillId="17" borderId="40" xfId="27" applyNumberFormat="1" applyFont="1" applyFill="1" applyBorder="1" applyAlignment="1">
      <alignment horizontal="center"/>
    </xf>
    <xf numFmtId="0" fontId="0" fillId="12" borderId="27" xfId="0" applyFill="1" applyBorder="1" applyAlignment="1"/>
    <xf numFmtId="0" fontId="0" fillId="12" borderId="1" xfId="0" applyFill="1" applyBorder="1" applyAlignment="1"/>
    <xf numFmtId="0" fontId="0" fillId="0" borderId="66" xfId="0" applyBorder="1" applyAlignment="1">
      <alignment horizontal="center"/>
    </xf>
    <xf numFmtId="0" fontId="0" fillId="0" borderId="3" xfId="0" applyBorder="1"/>
    <xf numFmtId="10" fontId="0" fillId="4" borderId="33" xfId="0" applyNumberFormat="1" applyFill="1" applyBorder="1"/>
    <xf numFmtId="0" fontId="8" fillId="0" borderId="3" xfId="0" applyFont="1" applyFill="1" applyBorder="1" applyAlignment="1">
      <alignment horizontal="center" wrapText="1"/>
    </xf>
    <xf numFmtId="0" fontId="8" fillId="0" borderId="12" xfId="0" applyFont="1" applyFill="1" applyBorder="1" applyAlignment="1">
      <alignment horizontal="center" wrapText="1"/>
    </xf>
    <xf numFmtId="10" fontId="0" fillId="4" borderId="37" xfId="0" applyNumberFormat="1" applyFill="1" applyBorder="1"/>
    <xf numFmtId="1" fontId="0" fillId="0" borderId="3" xfId="0" applyNumberFormat="1" applyFill="1" applyBorder="1"/>
    <xf numFmtId="1" fontId="0" fillId="0" borderId="3" xfId="0" applyNumberFormat="1" applyFill="1" applyBorder="1" applyAlignment="1"/>
    <xf numFmtId="2" fontId="0" fillId="0" borderId="3" xfId="0" applyNumberFormat="1" applyFill="1" applyBorder="1" applyAlignment="1"/>
    <xf numFmtId="168" fontId="0" fillId="0" borderId="3" xfId="0" applyNumberFormat="1" applyFill="1" applyBorder="1" applyAlignment="1"/>
    <xf numFmtId="168" fontId="0" fillId="0" borderId="12" xfId="0" applyNumberFormat="1" applyFill="1" applyBorder="1" applyAlignment="1"/>
    <xf numFmtId="1" fontId="0" fillId="0" borderId="12" xfId="0" applyNumberFormat="1" applyFill="1" applyBorder="1"/>
    <xf numFmtId="1" fontId="0" fillId="0" borderId="9" xfId="0" applyNumberFormat="1" applyFill="1" applyBorder="1"/>
    <xf numFmtId="1" fontId="0" fillId="0" borderId="12" xfId="0" applyNumberFormat="1" applyFill="1" applyBorder="1" applyAlignment="1"/>
    <xf numFmtId="0" fontId="8" fillId="17" borderId="3" xfId="0" applyFont="1" applyFill="1" applyBorder="1" applyAlignment="1">
      <alignment horizontal="center"/>
    </xf>
    <xf numFmtId="168" fontId="0" fillId="17" borderId="3" xfId="0" applyNumberFormat="1" applyFill="1" applyBorder="1" applyAlignment="1"/>
    <xf numFmtId="168" fontId="0" fillId="17" borderId="12" xfId="0" applyNumberFormat="1" applyFill="1" applyBorder="1" applyAlignment="1"/>
    <xf numFmtId="1" fontId="0" fillId="17" borderId="3" xfId="0" applyNumberFormat="1" applyFill="1" applyBorder="1"/>
    <xf numFmtId="1" fontId="0" fillId="17" borderId="3" xfId="0" applyNumberFormat="1" applyFill="1" applyBorder="1" applyAlignment="1"/>
    <xf numFmtId="1" fontId="0" fillId="17" borderId="12" xfId="0" applyNumberFormat="1" applyFill="1" applyBorder="1" applyAlignment="1"/>
    <xf numFmtId="0" fontId="8" fillId="0" borderId="39" xfId="0" applyFont="1" applyFill="1" applyBorder="1" applyAlignment="1">
      <alignment horizontal="center"/>
    </xf>
    <xf numFmtId="1" fontId="0" fillId="0" borderId="39" xfId="0" applyNumberFormat="1" applyFill="1" applyBorder="1"/>
    <xf numFmtId="1" fontId="0" fillId="0" borderId="39" xfId="0" applyNumberFormat="1" applyFill="1" applyBorder="1" applyAlignment="1"/>
    <xf numFmtId="2" fontId="0" fillId="0" borderId="39" xfId="0" applyNumberFormat="1" applyFill="1" applyBorder="1" applyAlignment="1"/>
    <xf numFmtId="168" fontId="0" fillId="0" borderId="39" xfId="0" applyNumberFormat="1" applyFill="1" applyBorder="1" applyAlignment="1"/>
    <xf numFmtId="168" fontId="0" fillId="0" borderId="47" xfId="0" applyNumberFormat="1" applyFill="1" applyBorder="1" applyAlignment="1"/>
    <xf numFmtId="1" fontId="0" fillId="0" borderId="47" xfId="0" applyNumberFormat="1" applyFill="1" applyBorder="1" applyAlignment="1"/>
    <xf numFmtId="1" fontId="0" fillId="0" borderId="5" xfId="0" applyNumberFormat="1" applyFill="1" applyBorder="1"/>
    <xf numFmtId="1" fontId="0" fillId="0" borderId="5" xfId="0" applyNumberFormat="1" applyFill="1" applyBorder="1" applyAlignment="1"/>
    <xf numFmtId="2" fontId="0" fillId="0" borderId="5" xfId="0" applyNumberFormat="1" applyFill="1" applyBorder="1" applyAlignment="1"/>
    <xf numFmtId="168" fontId="0" fillId="0" borderId="5" xfId="0" applyNumberFormat="1" applyFill="1" applyBorder="1" applyAlignment="1"/>
    <xf numFmtId="168" fontId="0" fillId="0" borderId="21" xfId="0" applyNumberFormat="1" applyFill="1" applyBorder="1" applyAlignment="1"/>
    <xf numFmtId="1" fontId="0" fillId="0" borderId="21" xfId="0" applyNumberFormat="1" applyFill="1" applyBorder="1" applyAlignment="1"/>
    <xf numFmtId="0" fontId="8" fillId="17" borderId="39" xfId="0" applyFont="1" applyFill="1" applyBorder="1" applyAlignment="1">
      <alignment horizontal="center"/>
    </xf>
    <xf numFmtId="168" fontId="0" fillId="17" borderId="39" xfId="0" applyNumberFormat="1" applyFill="1" applyBorder="1" applyAlignment="1"/>
    <xf numFmtId="168" fontId="0" fillId="17" borderId="47" xfId="0" applyNumberFormat="1" applyFill="1" applyBorder="1" applyAlignment="1"/>
    <xf numFmtId="1" fontId="0" fillId="17" borderId="39" xfId="0" applyNumberFormat="1" applyFill="1" applyBorder="1"/>
    <xf numFmtId="1" fontId="0" fillId="17" borderId="8" xfId="0" applyNumberFormat="1" applyFill="1" applyBorder="1"/>
    <xf numFmtId="1" fontId="0" fillId="17" borderId="39" xfId="0" applyNumberFormat="1" applyFill="1" applyBorder="1" applyAlignment="1"/>
    <xf numFmtId="1" fontId="0" fillId="17" borderId="47" xfId="0" applyNumberFormat="1" applyFill="1" applyBorder="1" applyAlignment="1"/>
    <xf numFmtId="0" fontId="0" fillId="0" borderId="0" xfId="0" applyFill="1" applyAlignment="1"/>
    <xf numFmtId="1" fontId="8" fillId="4" borderId="3" xfId="27" applyNumberFormat="1" applyFont="1" applyFill="1" applyBorder="1" applyAlignment="1">
      <alignment horizontal="right"/>
    </xf>
    <xf numFmtId="168" fontId="0" fillId="0" borderId="3" xfId="0" applyNumberFormat="1" applyBorder="1"/>
    <xf numFmtId="168" fontId="0" fillId="17" borderId="3" xfId="0" applyNumberFormat="1" applyFill="1" applyBorder="1"/>
    <xf numFmtId="168" fontId="0" fillId="0" borderId="5" xfId="0" applyNumberFormat="1" applyBorder="1"/>
    <xf numFmtId="168" fontId="0" fillId="17" borderId="39" xfId="0" applyNumberFormat="1" applyFill="1" applyBorder="1"/>
    <xf numFmtId="44" fontId="16" fillId="0" borderId="0" xfId="3" applyFont="1" applyFill="1" applyBorder="1"/>
    <xf numFmtId="3" fontId="16" fillId="5" borderId="14" xfId="13" applyNumberFormat="1" applyFont="1" applyFill="1" applyBorder="1" applyAlignment="1">
      <alignment horizontal="center"/>
    </xf>
    <xf numFmtId="3" fontId="16" fillId="5" borderId="13" xfId="13" applyNumberFormat="1" applyFont="1" applyFill="1" applyBorder="1" applyAlignment="1">
      <alignment horizontal="center"/>
    </xf>
    <xf numFmtId="165" fontId="17" fillId="5" borderId="67" xfId="3" applyNumberFormat="1" applyFont="1" applyFill="1" applyBorder="1"/>
    <xf numFmtId="0" fontId="0" fillId="18" borderId="0" xfId="0" applyFill="1"/>
    <xf numFmtId="0" fontId="17" fillId="10" borderId="14" xfId="0" applyFont="1" applyFill="1" applyBorder="1" applyAlignment="1">
      <alignment horizontal="center"/>
    </xf>
    <xf numFmtId="3" fontId="16" fillId="18" borderId="16" xfId="0" applyNumberFormat="1" applyFont="1" applyFill="1" applyBorder="1" applyAlignment="1">
      <alignment horizontal="center"/>
    </xf>
    <xf numFmtId="0" fontId="0" fillId="10" borderId="3" xfId="0" applyFont="1" applyFill="1" applyBorder="1" applyAlignment="1">
      <alignment horizontal="center"/>
    </xf>
    <xf numFmtId="0" fontId="43" fillId="18" borderId="0" xfId="28" applyFill="1"/>
    <xf numFmtId="0" fontId="18" fillId="8" borderId="31" xfId="0" applyFont="1" applyFill="1" applyBorder="1" applyAlignment="1">
      <alignment vertical="center"/>
    </xf>
    <xf numFmtId="0" fontId="18" fillId="8" borderId="68" xfId="0" applyFont="1" applyFill="1" applyBorder="1" applyAlignment="1">
      <alignment vertical="center"/>
    </xf>
    <xf numFmtId="169" fontId="16" fillId="5" borderId="16" xfId="0" applyNumberFormat="1" applyFont="1" applyFill="1" applyBorder="1" applyAlignment="1">
      <alignment horizontal="center"/>
    </xf>
    <xf numFmtId="0" fontId="16" fillId="18" borderId="0" xfId="0" applyFont="1" applyFill="1"/>
    <xf numFmtId="0" fontId="8" fillId="18" borderId="0" xfId="0" applyFont="1" applyFill="1"/>
    <xf numFmtId="0" fontId="0" fillId="18" borderId="0" xfId="0" applyFill="1" applyBorder="1"/>
    <xf numFmtId="0" fontId="17" fillId="18" borderId="0" xfId="13" applyFont="1" applyFill="1" applyBorder="1" applyAlignment="1">
      <alignment horizontal="left" wrapText="1"/>
    </xf>
    <xf numFmtId="0" fontId="16" fillId="18" borderId="0" xfId="13" applyFont="1" applyFill="1"/>
    <xf numFmtId="0" fontId="16" fillId="18" borderId="0" xfId="13" applyFont="1" applyFill="1" applyBorder="1" applyAlignment="1">
      <alignment horizontal="center"/>
    </xf>
    <xf numFmtId="9" fontId="16" fillId="18" borderId="0" xfId="13" applyNumberFormat="1" applyFont="1" applyFill="1" applyBorder="1" applyAlignment="1">
      <alignment horizontal="center" vertical="center"/>
    </xf>
    <xf numFmtId="0" fontId="27" fillId="18" borderId="0" xfId="13" applyFont="1" applyFill="1" applyBorder="1" applyAlignment="1"/>
    <xf numFmtId="0" fontId="16" fillId="18" borderId="0" xfId="3" applyNumberFormat="1" applyFont="1" applyFill="1" applyBorder="1" applyAlignment="1">
      <alignment horizontal="right"/>
    </xf>
    <xf numFmtId="0" fontId="17" fillId="18" borderId="0" xfId="13" applyFont="1" applyFill="1" applyBorder="1" applyAlignment="1">
      <alignment horizontal="center" vertical="center" wrapText="1"/>
    </xf>
    <xf numFmtId="0" fontId="17" fillId="18" borderId="0" xfId="13" applyFont="1" applyFill="1" applyBorder="1" applyAlignment="1">
      <alignment wrapText="1"/>
    </xf>
    <xf numFmtId="0" fontId="17" fillId="18" borderId="0" xfId="13" applyFont="1" applyFill="1" applyBorder="1" applyAlignment="1"/>
    <xf numFmtId="0" fontId="17" fillId="18" borderId="0" xfId="13" applyFont="1" applyFill="1" applyBorder="1" applyAlignment="1">
      <alignment horizontal="left" vertical="center"/>
    </xf>
    <xf numFmtId="0" fontId="17" fillId="18" borderId="0" xfId="13" applyFont="1" applyFill="1" applyBorder="1" applyAlignment="1">
      <alignment horizontal="left"/>
    </xf>
    <xf numFmtId="0" fontId="16" fillId="18" borderId="0" xfId="13" applyFont="1" applyFill="1" applyBorder="1" applyAlignment="1">
      <alignment vertical="center"/>
    </xf>
    <xf numFmtId="0" fontId="16" fillId="18" borderId="0" xfId="13" applyFont="1" applyFill="1" applyBorder="1" applyAlignment="1">
      <alignment horizontal="center" vertical="center"/>
    </xf>
    <xf numFmtId="3" fontId="16" fillId="18" borderId="0" xfId="13" applyNumberFormat="1" applyFont="1" applyFill="1" applyBorder="1" applyAlignment="1">
      <alignment horizontal="center"/>
    </xf>
    <xf numFmtId="3" fontId="16" fillId="18" borderId="0" xfId="3" applyNumberFormat="1" applyFont="1" applyFill="1" applyBorder="1" applyAlignment="1">
      <alignment horizontal="center"/>
    </xf>
    <xf numFmtId="0" fontId="16" fillId="18" borderId="0" xfId="13" applyFont="1" applyFill="1" applyBorder="1"/>
    <xf numFmtId="0" fontId="16" fillId="18" borderId="0" xfId="13" applyFont="1" applyFill="1" applyAlignment="1"/>
    <xf numFmtId="0" fontId="17" fillId="18" borderId="0" xfId="13" applyFont="1" applyFill="1" applyBorder="1" applyAlignment="1">
      <alignment horizontal="center"/>
    </xf>
    <xf numFmtId="0" fontId="16" fillId="18" borderId="0" xfId="13" applyFont="1" applyFill="1" applyBorder="1" applyAlignment="1"/>
    <xf numFmtId="0" fontId="20" fillId="18" borderId="0" xfId="13" applyFont="1" applyFill="1" applyAlignment="1">
      <alignment horizontal="center"/>
    </xf>
    <xf numFmtId="0" fontId="28" fillId="18" borderId="0" xfId="13" applyFont="1" applyFill="1" applyAlignment="1"/>
    <xf numFmtId="0" fontId="16" fillId="18" borderId="0" xfId="13" quotePrefix="1" applyFont="1" applyFill="1"/>
    <xf numFmtId="0" fontId="16" fillId="18" borderId="0" xfId="13" applyFont="1" applyFill="1" applyBorder="1" applyAlignment="1">
      <alignment horizontal="right"/>
    </xf>
    <xf numFmtId="165" fontId="17" fillId="18" borderId="0" xfId="3" applyNumberFormat="1" applyFont="1" applyFill="1" applyBorder="1"/>
    <xf numFmtId="0" fontId="17" fillId="18" borderId="0" xfId="13" applyFont="1" applyFill="1" applyBorder="1" applyAlignment="1">
      <alignment horizontal="right"/>
    </xf>
    <xf numFmtId="43" fontId="16" fillId="18" borderId="0" xfId="2" applyFont="1" applyFill="1" applyBorder="1" applyAlignment="1">
      <alignment vertical="center"/>
    </xf>
    <xf numFmtId="0" fontId="17" fillId="18" borderId="0" xfId="13" applyFont="1" applyFill="1" applyBorder="1" applyAlignment="1">
      <alignment horizontal="center" vertical="center"/>
    </xf>
    <xf numFmtId="0" fontId="17" fillId="18" borderId="0" xfId="13" applyFont="1" applyFill="1" applyBorder="1" applyAlignment="1">
      <alignment vertical="center" wrapText="1"/>
    </xf>
    <xf numFmtId="0" fontId="14" fillId="18" borderId="0" xfId="0" applyFont="1" applyFill="1"/>
    <xf numFmtId="14" fontId="15" fillId="18" borderId="0" xfId="0" applyNumberFormat="1" applyFont="1" applyFill="1"/>
    <xf numFmtId="6" fontId="16" fillId="18" borderId="0" xfId="0" applyNumberFormat="1" applyFont="1" applyFill="1"/>
    <xf numFmtId="0" fontId="23" fillId="18" borderId="0" xfId="13" applyFont="1" applyFill="1" applyBorder="1" applyAlignment="1"/>
    <xf numFmtId="0" fontId="18" fillId="18" borderId="0" xfId="13" applyFont="1" applyFill="1" applyBorder="1" applyAlignment="1"/>
    <xf numFmtId="0" fontId="24" fillId="18" borderId="0" xfId="25" applyFont="1" applyFill="1"/>
    <xf numFmtId="0" fontId="0" fillId="18" borderId="0" xfId="0" applyFill="1" applyAlignment="1">
      <alignment horizontal="center"/>
    </xf>
    <xf numFmtId="0" fontId="16" fillId="18" borderId="0" xfId="13" applyFont="1" applyFill="1" applyAlignment="1">
      <alignment horizontal="center"/>
    </xf>
    <xf numFmtId="0" fontId="11" fillId="18" borderId="0" xfId="5" applyFill="1" applyBorder="1" applyAlignment="1"/>
    <xf numFmtId="0" fontId="17" fillId="9" borderId="3" xfId="13" applyFont="1" applyFill="1" applyBorder="1" applyAlignment="1">
      <alignment horizontal="left"/>
    </xf>
    <xf numFmtId="1" fontId="16" fillId="11" borderId="3" xfId="3" applyNumberFormat="1" applyFont="1" applyFill="1" applyBorder="1" applyAlignment="1">
      <alignment horizontal="right" vertical="center"/>
    </xf>
    <xf numFmtId="166" fontId="16" fillId="11" borderId="3" xfId="3" applyNumberFormat="1" applyFont="1" applyFill="1" applyBorder="1" applyAlignment="1">
      <alignment horizontal="right" vertical="center"/>
    </xf>
    <xf numFmtId="0" fontId="0" fillId="18" borderId="0" xfId="0" applyFill="1" applyAlignment="1">
      <alignment wrapText="1"/>
    </xf>
    <xf numFmtId="6" fontId="16" fillId="5" borderId="14" xfId="3" applyNumberFormat="1" applyFont="1" applyFill="1" applyBorder="1" applyAlignment="1">
      <alignment horizontal="right"/>
    </xf>
    <xf numFmtId="6" fontId="16" fillId="0" borderId="16" xfId="3" applyNumberFormat="1" applyFont="1" applyFill="1" applyBorder="1" applyAlignment="1">
      <alignment horizontal="right"/>
    </xf>
    <xf numFmtId="6" fontId="16" fillId="5" borderId="16" xfId="3" applyNumberFormat="1" applyFont="1" applyFill="1" applyBorder="1" applyAlignment="1">
      <alignment horizontal="right"/>
    </xf>
    <xf numFmtId="6" fontId="16" fillId="5" borderId="29" xfId="3" applyNumberFormat="1" applyFont="1" applyFill="1" applyBorder="1" applyAlignment="1">
      <alignment horizontal="right"/>
    </xf>
    <xf numFmtId="6" fontId="17" fillId="5" borderId="5" xfId="3" applyNumberFormat="1" applyFont="1" applyFill="1" applyBorder="1" applyAlignment="1">
      <alignment horizontal="right"/>
    </xf>
    <xf numFmtId="6" fontId="17" fillId="0" borderId="5" xfId="3" applyNumberFormat="1" applyFont="1" applyFill="1" applyBorder="1" applyAlignment="1">
      <alignment horizontal="right"/>
    </xf>
    <xf numFmtId="6" fontId="16" fillId="0" borderId="16" xfId="10" applyNumberFormat="1" applyFont="1" applyFill="1" applyBorder="1" applyAlignment="1"/>
    <xf numFmtId="6" fontId="16" fillId="5" borderId="16" xfId="10" applyNumberFormat="1" applyFont="1" applyFill="1" applyBorder="1" applyAlignment="1"/>
    <xf numFmtId="6" fontId="16" fillId="0" borderId="14" xfId="3" applyNumberFormat="1" applyFont="1" applyFill="1" applyBorder="1" applyAlignment="1"/>
    <xf numFmtId="6" fontId="16" fillId="5" borderId="16" xfId="3" applyNumberFormat="1" applyFont="1" applyFill="1" applyBorder="1" applyAlignment="1"/>
    <xf numFmtId="6" fontId="16" fillId="0" borderId="16" xfId="3" applyNumberFormat="1" applyFont="1" applyFill="1" applyBorder="1" applyAlignment="1"/>
    <xf numFmtId="6" fontId="16" fillId="0" borderId="29" xfId="10" applyNumberFormat="1" applyFont="1" applyFill="1" applyBorder="1" applyAlignment="1"/>
    <xf numFmtId="6" fontId="16" fillId="5" borderId="29" xfId="10" applyNumberFormat="1" applyFont="1" applyFill="1" applyBorder="1" applyAlignment="1"/>
    <xf numFmtId="6" fontId="16" fillId="0" borderId="29" xfId="3" applyNumberFormat="1" applyFont="1" applyFill="1" applyBorder="1" applyAlignment="1"/>
    <xf numFmtId="6" fontId="16" fillId="5" borderId="29" xfId="3" applyNumberFormat="1" applyFont="1" applyFill="1" applyBorder="1" applyAlignment="1"/>
    <xf numFmtId="6" fontId="16" fillId="0" borderId="5" xfId="10" applyNumberFormat="1" applyFont="1" applyFill="1" applyBorder="1" applyAlignment="1">
      <alignment horizontal="right"/>
    </xf>
    <xf numFmtId="6" fontId="16" fillId="5" borderId="5" xfId="10" applyNumberFormat="1" applyFont="1" applyFill="1" applyBorder="1" applyAlignment="1">
      <alignment horizontal="right"/>
    </xf>
    <xf numFmtId="0" fontId="17" fillId="18" borderId="19" xfId="13" applyFont="1" applyFill="1" applyBorder="1" applyAlignment="1">
      <alignment wrapText="1"/>
    </xf>
    <xf numFmtId="0" fontId="17" fillId="18" borderId="24" xfId="13" applyFont="1" applyFill="1" applyBorder="1" applyAlignment="1">
      <alignment wrapText="1"/>
    </xf>
    <xf numFmtId="6" fontId="16" fillId="18" borderId="16" xfId="3" applyNumberFormat="1" applyFont="1" applyFill="1" applyBorder="1" applyAlignment="1"/>
    <xf numFmtId="6" fontId="16" fillId="18" borderId="29" xfId="3" applyNumberFormat="1" applyFont="1" applyFill="1" applyBorder="1" applyAlignment="1"/>
    <xf numFmtId="3" fontId="16" fillId="7" borderId="14" xfId="13" applyNumberFormat="1" applyFont="1" applyFill="1" applyBorder="1" applyAlignment="1">
      <alignment horizontal="center"/>
    </xf>
    <xf numFmtId="0" fontId="16" fillId="0" borderId="0" xfId="13" applyFont="1" applyFill="1"/>
    <xf numFmtId="3" fontId="16" fillId="5" borderId="69" xfId="13" applyNumberFormat="1" applyFont="1" applyFill="1" applyBorder="1" applyAlignment="1">
      <alignment horizontal="center"/>
    </xf>
    <xf numFmtId="165" fontId="17" fillId="5" borderId="16" xfId="3" applyNumberFormat="1" applyFont="1" applyFill="1" applyBorder="1"/>
    <xf numFmtId="6" fontId="46" fillId="18" borderId="16" xfId="0" applyNumberFormat="1" applyFont="1" applyFill="1" applyBorder="1" applyAlignment="1">
      <alignment horizontal="right"/>
    </xf>
    <xf numFmtId="6" fontId="46" fillId="5" borderId="16" xfId="0" applyNumberFormat="1" applyFont="1" applyFill="1" applyBorder="1" applyAlignment="1">
      <alignment horizontal="right"/>
    </xf>
    <xf numFmtId="6" fontId="46" fillId="5" borderId="4" xfId="0" applyNumberFormat="1" applyFont="1" applyFill="1" applyBorder="1" applyAlignment="1">
      <alignment horizontal="right"/>
    </xf>
    <xf numFmtId="6" fontId="46" fillId="5" borderId="15" xfId="0" applyNumberFormat="1" applyFont="1" applyFill="1" applyBorder="1" applyAlignment="1">
      <alignment horizontal="right"/>
    </xf>
    <xf numFmtId="6" fontId="46" fillId="5" borderId="14" xfId="0" applyNumberFormat="1" applyFont="1" applyFill="1" applyBorder="1" applyAlignment="1">
      <alignment horizontal="right"/>
    </xf>
    <xf numFmtId="6" fontId="46" fillId="18" borderId="7" xfId="0" applyNumberFormat="1" applyFont="1" applyFill="1" applyBorder="1" applyAlignment="1">
      <alignment horizontal="right"/>
    </xf>
    <xf numFmtId="6" fontId="46" fillId="5" borderId="7" xfId="0" applyNumberFormat="1" applyFont="1" applyFill="1" applyBorder="1" applyAlignment="1">
      <alignment horizontal="right"/>
    </xf>
    <xf numFmtId="6" fontId="47" fillId="9" borderId="5" xfId="0" applyNumberFormat="1" applyFont="1" applyFill="1" applyBorder="1" applyAlignment="1">
      <alignment horizontal="right"/>
    </xf>
    <xf numFmtId="6" fontId="46" fillId="18" borderId="5" xfId="0" applyNumberFormat="1" applyFont="1" applyFill="1" applyBorder="1" applyAlignment="1">
      <alignment horizontal="right"/>
    </xf>
    <xf numFmtId="6" fontId="46" fillId="5" borderId="5" xfId="0" applyNumberFormat="1" applyFont="1" applyFill="1" applyBorder="1" applyAlignment="1">
      <alignment horizontal="right"/>
    </xf>
    <xf numFmtId="6" fontId="47" fillId="5" borderId="5" xfId="0" applyNumberFormat="1" applyFont="1" applyFill="1" applyBorder="1"/>
    <xf numFmtId="6" fontId="46" fillId="18" borderId="16" xfId="0" applyNumberFormat="1" applyFont="1" applyFill="1" applyBorder="1" applyAlignment="1">
      <alignment horizontal="right" vertical="center" wrapText="1"/>
    </xf>
    <xf numFmtId="6" fontId="46" fillId="5" borderId="16" xfId="0" applyNumberFormat="1" applyFont="1" applyFill="1" applyBorder="1" applyAlignment="1">
      <alignment horizontal="right" vertical="center" wrapText="1"/>
    </xf>
    <xf numFmtId="6" fontId="46" fillId="0" borderId="5" xfId="0" applyNumberFormat="1" applyFont="1" applyFill="1" applyBorder="1" applyAlignment="1"/>
    <xf numFmtId="6" fontId="46" fillId="5" borderId="5" xfId="0" applyNumberFormat="1" applyFont="1" applyFill="1" applyBorder="1" applyAlignment="1"/>
    <xf numFmtId="44" fontId="17" fillId="5" borderId="14" xfId="3" applyNumberFormat="1" applyFont="1" applyFill="1" applyBorder="1"/>
    <xf numFmtId="165" fontId="16" fillId="18" borderId="0" xfId="3" applyNumberFormat="1" applyFont="1" applyFill="1" applyAlignment="1">
      <alignment horizontal="center"/>
    </xf>
    <xf numFmtId="165" fontId="16" fillId="18" borderId="0" xfId="3" applyNumberFormat="1" applyFont="1" applyFill="1" applyBorder="1" applyAlignment="1">
      <alignment horizontal="center"/>
    </xf>
    <xf numFmtId="166" fontId="16" fillId="18" borderId="0" xfId="13" applyNumberFormat="1" applyFont="1" applyFill="1"/>
    <xf numFmtId="7" fontId="16" fillId="5" borderId="3" xfId="3" applyNumberFormat="1" applyFont="1" applyFill="1" applyBorder="1" applyAlignment="1">
      <alignment horizontal="right"/>
    </xf>
    <xf numFmtId="6" fontId="0" fillId="18" borderId="0" xfId="0" applyNumberFormat="1" applyFill="1"/>
    <xf numFmtId="0" fontId="8" fillId="0" borderId="0" xfId="0" applyFont="1" applyFill="1" applyBorder="1" applyAlignment="1">
      <alignment horizontal="left"/>
    </xf>
    <xf numFmtId="0" fontId="8" fillId="0" borderId="0" xfId="0" applyFont="1" applyAlignment="1">
      <alignment horizontal="center" vertical="center"/>
    </xf>
    <xf numFmtId="172" fontId="0" fillId="18" borderId="3" xfId="0" applyNumberFormat="1" applyFill="1" applyBorder="1" applyAlignment="1">
      <alignment horizontal="center" vertical="center"/>
    </xf>
    <xf numFmtId="0" fontId="18" fillId="8" borderId="52" xfId="0" applyFont="1" applyFill="1" applyBorder="1" applyAlignment="1">
      <alignment horizontal="center" vertical="center"/>
    </xf>
    <xf numFmtId="0" fontId="18" fillId="8" borderId="53" xfId="0" applyFont="1" applyFill="1" applyBorder="1" applyAlignment="1">
      <alignment horizontal="center" vertical="center"/>
    </xf>
    <xf numFmtId="173" fontId="0" fillId="18" borderId="53" xfId="0" applyNumberFormat="1" applyFill="1" applyBorder="1" applyAlignment="1">
      <alignment horizontal="center" vertical="center"/>
    </xf>
    <xf numFmtId="173" fontId="0" fillId="18" borderId="40" xfId="0" applyNumberFormat="1" applyFill="1" applyBorder="1" applyAlignment="1">
      <alignment horizontal="center" vertical="center"/>
    </xf>
    <xf numFmtId="172" fontId="0" fillId="18" borderId="52" xfId="0" applyNumberFormat="1" applyFill="1" applyBorder="1" applyAlignment="1">
      <alignment horizontal="center" vertical="center"/>
    </xf>
    <xf numFmtId="172" fontId="0" fillId="18" borderId="38" xfId="0" applyNumberFormat="1" applyFill="1" applyBorder="1" applyAlignment="1">
      <alignment horizontal="center" vertical="center"/>
    </xf>
    <xf numFmtId="172" fontId="0" fillId="18" borderId="39" xfId="0" applyNumberFormat="1" applyFill="1" applyBorder="1" applyAlignment="1">
      <alignment horizontal="center" vertical="center"/>
    </xf>
    <xf numFmtId="0" fontId="49" fillId="18" borderId="0" xfId="0" applyFont="1" applyFill="1" applyBorder="1" applyAlignment="1"/>
    <xf numFmtId="0" fontId="49" fillId="18" borderId="0" xfId="0" applyFont="1" applyFill="1" applyAlignment="1"/>
    <xf numFmtId="0" fontId="0" fillId="18" borderId="65" xfId="0" applyFill="1" applyBorder="1"/>
    <xf numFmtId="0" fontId="0" fillId="18" borderId="66" xfId="0" applyFill="1" applyBorder="1"/>
    <xf numFmtId="0" fontId="0" fillId="18" borderId="72" xfId="0" applyFill="1" applyBorder="1"/>
    <xf numFmtId="0" fontId="0" fillId="18" borderId="73" xfId="0" applyFill="1" applyBorder="1"/>
    <xf numFmtId="0" fontId="0" fillId="18" borderId="74" xfId="0" applyFill="1" applyBorder="1"/>
    <xf numFmtId="173" fontId="0" fillId="18" borderId="0" xfId="0" applyNumberFormat="1" applyFill="1"/>
    <xf numFmtId="166" fontId="10" fillId="5" borderId="3" xfId="0" applyNumberFormat="1" applyFont="1" applyFill="1" applyBorder="1" applyAlignment="1">
      <alignment horizontal="center" vertical="center"/>
    </xf>
    <xf numFmtId="0" fontId="50" fillId="18" borderId="0" xfId="0" applyFont="1" applyFill="1" applyAlignment="1">
      <alignment horizontal="left" vertical="center"/>
    </xf>
    <xf numFmtId="6" fontId="16" fillId="5" borderId="16" xfId="3" applyNumberFormat="1" applyFont="1" applyFill="1" applyBorder="1" applyAlignment="1">
      <alignment horizontal="center" vertical="center"/>
    </xf>
    <xf numFmtId="6" fontId="16" fillId="5" borderId="5" xfId="3" applyNumberFormat="1" applyFont="1" applyFill="1" applyBorder="1" applyAlignment="1">
      <alignment horizontal="center" vertical="center"/>
    </xf>
    <xf numFmtId="0" fontId="18" fillId="8" borderId="55" xfId="0" applyFont="1" applyFill="1" applyBorder="1" applyAlignment="1">
      <alignment horizontal="center" wrapText="1"/>
    </xf>
    <xf numFmtId="0" fontId="0" fillId="10" borderId="52" xfId="0" applyFont="1" applyFill="1" applyBorder="1" applyAlignment="1">
      <alignment horizontal="center"/>
    </xf>
    <xf numFmtId="0" fontId="0" fillId="10" borderId="59" xfId="0" applyFont="1" applyFill="1" applyBorder="1" applyAlignment="1">
      <alignment horizontal="center"/>
    </xf>
    <xf numFmtId="171" fontId="0" fillId="0" borderId="3" xfId="0" applyNumberFormat="1" applyBorder="1" applyAlignment="1">
      <alignment horizontal="center" vertical="center"/>
    </xf>
    <xf numFmtId="0" fontId="0" fillId="0" borderId="30" xfId="0" applyFont="1" applyFill="1" applyBorder="1" applyAlignment="1">
      <alignment horizontal="left"/>
    </xf>
    <xf numFmtId="6" fontId="16" fillId="5" borderId="29" xfId="3" applyNumberFormat="1" applyFont="1" applyFill="1" applyBorder="1" applyAlignment="1">
      <alignment horizontal="center" vertical="center"/>
    </xf>
    <xf numFmtId="6" fontId="16" fillId="0" borderId="16" xfId="3" applyNumberFormat="1" applyFont="1" applyFill="1" applyBorder="1" applyAlignment="1">
      <alignment horizontal="center" vertical="center"/>
    </xf>
    <xf numFmtId="6" fontId="16" fillId="0" borderId="29" xfId="3" applyNumberFormat="1" applyFont="1" applyFill="1" applyBorder="1" applyAlignment="1">
      <alignment horizontal="center" vertical="center"/>
    </xf>
    <xf numFmtId="6" fontId="47" fillId="0" borderId="5" xfId="0" applyNumberFormat="1" applyFont="1" applyFill="1" applyBorder="1"/>
    <xf numFmtId="6" fontId="16" fillId="0" borderId="5" xfId="3" applyNumberFormat="1" applyFont="1" applyFill="1" applyBorder="1" applyAlignment="1">
      <alignment horizontal="center" vertical="center"/>
    </xf>
    <xf numFmtId="166" fontId="16" fillId="0" borderId="16" xfId="0" applyNumberFormat="1" applyFont="1" applyFill="1" applyBorder="1" applyAlignment="1">
      <alignment horizontal="center"/>
    </xf>
    <xf numFmtId="166" fontId="10" fillId="0" borderId="3" xfId="0" applyNumberFormat="1" applyFont="1" applyFill="1" applyBorder="1" applyAlignment="1">
      <alignment horizontal="center" vertical="center"/>
    </xf>
    <xf numFmtId="169" fontId="16" fillId="0" borderId="16" xfId="0" applyNumberFormat="1" applyFont="1" applyFill="1" applyBorder="1" applyAlignment="1">
      <alignment horizontal="center"/>
    </xf>
    <xf numFmtId="166" fontId="16" fillId="5" borderId="16" xfId="0" applyNumberFormat="1" applyFont="1" applyFill="1" applyBorder="1" applyAlignment="1">
      <alignment horizontal="center"/>
    </xf>
    <xf numFmtId="49" fontId="36" fillId="0" borderId="0" xfId="0" applyNumberFormat="1" applyFont="1"/>
    <xf numFmtId="49" fontId="52" fillId="0" borderId="0" xfId="0" applyNumberFormat="1" applyFont="1"/>
    <xf numFmtId="49" fontId="8" fillId="0" borderId="0" xfId="0" quotePrefix="1" applyNumberFormat="1" applyFont="1"/>
    <xf numFmtId="49" fontId="53" fillId="5" borderId="3" xfId="0" quotePrefix="1" applyNumberFormat="1" applyFont="1" applyFill="1" applyBorder="1" applyAlignment="1">
      <alignment horizontal="center" vertical="center"/>
    </xf>
    <xf numFmtId="0" fontId="53" fillId="5" borderId="3" xfId="0" applyFont="1" applyFill="1" applyBorder="1" applyAlignment="1">
      <alignment horizontal="center" vertical="center"/>
    </xf>
    <xf numFmtId="49" fontId="8" fillId="0" borderId="3" xfId="0" quotePrefix="1" applyNumberFormat="1" applyFont="1" applyBorder="1" applyAlignment="1">
      <alignment horizontal="left" vertical="center"/>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49" fontId="8" fillId="0" borderId="3" xfId="0" applyNumberFormat="1" applyFont="1" applyBorder="1" applyAlignment="1">
      <alignment horizontal="left" vertical="center"/>
    </xf>
    <xf numFmtId="49" fontId="8" fillId="0" borderId="3" xfId="0" quotePrefix="1" applyNumberFormat="1" applyFont="1" applyFill="1" applyBorder="1" applyAlignment="1">
      <alignment horizontal="left" vertical="center"/>
    </xf>
    <xf numFmtId="0" fontId="8" fillId="0" borderId="0" xfId="0" quotePrefix="1" applyFont="1"/>
    <xf numFmtId="5" fontId="16" fillId="4" borderId="3" xfId="3" applyNumberFormat="1" applyFont="1" applyFill="1" applyBorder="1" applyAlignment="1">
      <alignment horizontal="right"/>
    </xf>
    <xf numFmtId="49" fontId="52" fillId="19" borderId="0" xfId="0" applyNumberFormat="1" applyFont="1" applyFill="1"/>
    <xf numFmtId="10" fontId="26" fillId="19" borderId="3" xfId="13" applyNumberFormat="1" applyFont="1" applyFill="1" applyBorder="1" applyAlignment="1">
      <alignment horizontal="center"/>
    </xf>
    <xf numFmtId="10" fontId="16" fillId="19" borderId="3" xfId="10" applyNumberFormat="1" applyFont="1" applyFill="1" applyBorder="1" applyAlignment="1">
      <alignment horizontal="center" vertical="center"/>
    </xf>
    <xf numFmtId="0" fontId="16" fillId="19" borderId="3" xfId="3" applyNumberFormat="1" applyFont="1" applyFill="1" applyBorder="1" applyAlignment="1">
      <alignment horizontal="center" vertical="center"/>
    </xf>
    <xf numFmtId="2" fontId="16" fillId="19" borderId="3" xfId="3" applyNumberFormat="1" applyFont="1" applyFill="1" applyBorder="1" applyAlignment="1">
      <alignment horizontal="center" vertical="center"/>
    </xf>
    <xf numFmtId="1" fontId="16" fillId="19" borderId="3" xfId="3" applyNumberFormat="1" applyFont="1" applyFill="1" applyBorder="1" applyAlignment="1">
      <alignment horizontal="right" vertical="center"/>
    </xf>
    <xf numFmtId="166" fontId="16" fillId="19" borderId="3" xfId="3" applyNumberFormat="1" applyFont="1" applyFill="1" applyBorder="1" applyAlignment="1">
      <alignment horizontal="right" vertical="center"/>
    </xf>
    <xf numFmtId="10" fontId="17" fillId="19" borderId="3" xfId="13" applyNumberFormat="1" applyFont="1" applyFill="1" applyBorder="1" applyAlignment="1">
      <alignment horizontal="center" vertical="center"/>
    </xf>
    <xf numFmtId="44" fontId="16" fillId="19" borderId="3" xfId="3" applyFont="1" applyFill="1" applyBorder="1"/>
    <xf numFmtId="0" fontId="0" fillId="19" borderId="53" xfId="0" applyFont="1" applyFill="1" applyBorder="1" applyAlignment="1">
      <alignment horizontal="center" vertical="center"/>
    </xf>
    <xf numFmtId="0" fontId="0" fillId="19" borderId="8" xfId="0" applyFont="1" applyFill="1" applyBorder="1" applyAlignment="1">
      <alignment horizontal="center" vertical="center"/>
    </xf>
    <xf numFmtId="0" fontId="0" fillId="19" borderId="44" xfId="0" applyFont="1" applyFill="1" applyBorder="1" applyAlignment="1">
      <alignment horizontal="center" vertical="center"/>
    </xf>
    <xf numFmtId="0" fontId="0" fillId="19" borderId="9" xfId="0" applyFill="1" applyBorder="1" applyAlignment="1">
      <alignment horizontal="center" vertical="center"/>
    </xf>
    <xf numFmtId="166" fontId="8" fillId="19" borderId="3" xfId="0" applyNumberFormat="1" applyFont="1" applyFill="1" applyBorder="1" applyAlignment="1">
      <alignment horizontal="center" vertical="center"/>
    </xf>
    <xf numFmtId="166" fontId="0" fillId="19" borderId="3" xfId="0" applyNumberFormat="1" applyFill="1" applyBorder="1" applyAlignment="1">
      <alignment horizontal="center" vertical="center"/>
    </xf>
    <xf numFmtId="166" fontId="0" fillId="19" borderId="53" xfId="0" applyNumberFormat="1" applyFill="1" applyBorder="1" applyAlignment="1">
      <alignment horizontal="center" vertical="center"/>
    </xf>
    <xf numFmtId="166" fontId="8" fillId="19" borderId="39" xfId="0" applyNumberFormat="1" applyFont="1" applyFill="1" applyBorder="1" applyAlignment="1">
      <alignment horizontal="center" vertical="center"/>
    </xf>
    <xf numFmtId="166" fontId="0" fillId="19" borderId="39" xfId="0" applyNumberFormat="1" applyFill="1" applyBorder="1" applyAlignment="1">
      <alignment horizontal="center" vertical="center"/>
    </xf>
    <xf numFmtId="11" fontId="0" fillId="19" borderId="0" xfId="0" applyNumberFormat="1" applyFill="1" applyAlignment="1">
      <alignment horizontal="center" vertical="center"/>
    </xf>
    <xf numFmtId="3" fontId="0" fillId="19" borderId="0" xfId="0" applyNumberFormat="1" applyFill="1" applyAlignment="1">
      <alignment horizontal="center" vertical="center"/>
    </xf>
    <xf numFmtId="49" fontId="8" fillId="0" borderId="3" xfId="0" applyNumberFormat="1" applyFont="1" applyFill="1" applyBorder="1" applyAlignment="1">
      <alignment horizontal="left" vertical="center"/>
    </xf>
    <xf numFmtId="165" fontId="0" fillId="18" borderId="0" xfId="3" applyNumberFormat="1" applyFont="1" applyFill="1"/>
    <xf numFmtId="9" fontId="0" fillId="18" borderId="0" xfId="10" applyFont="1" applyFill="1" applyAlignment="1">
      <alignment horizontal="center" vertical="center"/>
    </xf>
    <xf numFmtId="169" fontId="0" fillId="18" borderId="0" xfId="0" applyNumberFormat="1" applyFill="1"/>
    <xf numFmtId="0" fontId="10" fillId="18" borderId="0" xfId="0" applyFont="1" applyFill="1"/>
    <xf numFmtId="0" fontId="10" fillId="18" borderId="0" xfId="0" applyFont="1" applyFill="1" applyAlignment="1">
      <alignment horizontal="right"/>
    </xf>
    <xf numFmtId="3" fontId="0" fillId="4" borderId="0" xfId="0" applyNumberFormat="1" applyFill="1" applyAlignment="1">
      <alignment horizontal="center" vertical="center"/>
    </xf>
    <xf numFmtId="0" fontId="11" fillId="18" borderId="0" xfId="0" applyFont="1" applyFill="1"/>
    <xf numFmtId="44" fontId="16" fillId="18" borderId="0" xfId="13" applyNumberFormat="1" applyFont="1" applyFill="1" applyAlignment="1">
      <alignment horizontal="center"/>
    </xf>
    <xf numFmtId="0" fontId="11" fillId="18" borderId="0" xfId="0" applyFont="1" applyFill="1" applyAlignment="1">
      <alignment horizontal="right"/>
    </xf>
    <xf numFmtId="0" fontId="11" fillId="0" borderId="0" xfId="0" applyFont="1" applyAlignment="1">
      <alignment horizontal="right"/>
    </xf>
    <xf numFmtId="0" fontId="50" fillId="18" borderId="0" xfId="0" applyFont="1" applyFill="1" applyAlignment="1">
      <alignment horizontal="center" vertical="center"/>
    </xf>
    <xf numFmtId="44" fontId="16" fillId="18" borderId="0" xfId="13" applyNumberFormat="1" applyFont="1" applyFill="1"/>
    <xf numFmtId="5" fontId="0" fillId="4" borderId="0" xfId="0" applyNumberFormat="1" applyFill="1" applyAlignment="1">
      <alignment horizontal="center" vertical="center"/>
    </xf>
    <xf numFmtId="44" fontId="16" fillId="18" borderId="0" xfId="3" applyFont="1" applyFill="1" applyAlignment="1">
      <alignment horizontal="center" vertical="center"/>
    </xf>
    <xf numFmtId="9" fontId="10" fillId="4" borderId="0" xfId="10" applyFont="1" applyFill="1" applyAlignment="1">
      <alignment horizontal="center" vertical="center"/>
    </xf>
    <xf numFmtId="2" fontId="17" fillId="19" borderId="16" xfId="0" applyNumberFormat="1" applyFont="1" applyFill="1" applyBorder="1" applyAlignment="1">
      <alignment horizontal="center"/>
    </xf>
    <xf numFmtId="0" fontId="8" fillId="6" borderId="3" xfId="0" applyFont="1" applyFill="1" applyBorder="1" applyAlignment="1">
      <alignment horizontal="left" vertical="center" wrapText="1"/>
    </xf>
    <xf numFmtId="0" fontId="16" fillId="14" borderId="0" xfId="13" applyFont="1" applyFill="1"/>
    <xf numFmtId="0" fontId="16" fillId="0" borderId="0" xfId="0" applyFont="1"/>
    <xf numFmtId="0" fontId="55" fillId="18" borderId="0" xfId="0" applyFont="1" applyFill="1"/>
    <xf numFmtId="0" fontId="17" fillId="0" borderId="0" xfId="0" applyFont="1"/>
    <xf numFmtId="0" fontId="17" fillId="6" borderId="52" xfId="0" applyFont="1" applyFill="1" applyBorder="1" applyAlignment="1">
      <alignment horizontal="center"/>
    </xf>
    <xf numFmtId="0" fontId="17" fillId="10" borderId="3" xfId="13" applyFont="1" applyFill="1" applyBorder="1" applyAlignment="1">
      <alignment horizontal="center"/>
    </xf>
    <xf numFmtId="0" fontId="17" fillId="0" borderId="34" xfId="0" applyFont="1" applyBorder="1"/>
    <xf numFmtId="0" fontId="16" fillId="0" borderId="36" xfId="0" applyFont="1" applyBorder="1"/>
    <xf numFmtId="0" fontId="16" fillId="0" borderId="52" xfId="0" applyFont="1" applyBorder="1"/>
    <xf numFmtId="3" fontId="16" fillId="0" borderId="53" xfId="0" applyNumberFormat="1" applyFont="1" applyBorder="1"/>
    <xf numFmtId="0" fontId="16" fillId="0" borderId="38" xfId="0" applyFont="1" applyBorder="1"/>
    <xf numFmtId="2" fontId="16" fillId="0" borderId="40" xfId="0" applyNumberFormat="1" applyFont="1" applyBorder="1"/>
    <xf numFmtId="0" fontId="16" fillId="0" borderId="0" xfId="0" applyFont="1" applyAlignment="1">
      <alignment wrapText="1"/>
    </xf>
    <xf numFmtId="167" fontId="16" fillId="0" borderId="3" xfId="0" applyNumberFormat="1" applyFont="1" applyFill="1" applyBorder="1"/>
    <xf numFmtId="0" fontId="56" fillId="0" borderId="34" xfId="0" applyFont="1" applyBorder="1"/>
    <xf numFmtId="0" fontId="56" fillId="5" borderId="35" xfId="0" applyFont="1" applyFill="1" applyBorder="1"/>
    <xf numFmtId="0" fontId="56" fillId="5" borderId="36" xfId="0" applyFont="1" applyFill="1" applyBorder="1"/>
    <xf numFmtId="0" fontId="57" fillId="0" borderId="52" xfId="0" applyFont="1" applyBorder="1" applyAlignment="1">
      <alignment horizontal="left" indent="4"/>
    </xf>
    <xf numFmtId="170" fontId="58" fillId="0" borderId="3" xfId="2" applyNumberFormat="1" applyFont="1" applyFill="1" applyBorder="1"/>
    <xf numFmtId="0" fontId="58" fillId="0" borderId="53" xfId="0" applyFont="1" applyBorder="1"/>
    <xf numFmtId="0" fontId="57" fillId="0" borderId="38" xfId="0" applyFont="1" applyBorder="1" applyAlignment="1">
      <alignment horizontal="left" indent="4"/>
    </xf>
    <xf numFmtId="0" fontId="58" fillId="0" borderId="40" xfId="0" applyFont="1" applyBorder="1"/>
    <xf numFmtId="0" fontId="59" fillId="0" borderId="0" xfId="9" quotePrefix="1" applyFont="1" applyAlignment="1">
      <alignment horizontal="left"/>
    </xf>
    <xf numFmtId="170" fontId="57" fillId="0" borderId="0" xfId="0" applyNumberFormat="1" applyFont="1"/>
    <xf numFmtId="0" fontId="59" fillId="0" borderId="36" xfId="0" applyFont="1" applyBorder="1"/>
    <xf numFmtId="43" fontId="57" fillId="4" borderId="53" xfId="2" applyFont="1" applyFill="1" applyBorder="1"/>
    <xf numFmtId="43" fontId="57" fillId="4" borderId="40" xfId="2" applyFont="1" applyFill="1" applyBorder="1"/>
    <xf numFmtId="0" fontId="57" fillId="0" borderId="0" xfId="0" applyFont="1"/>
    <xf numFmtId="0" fontId="57" fillId="0" borderId="73" xfId="0" applyFont="1" applyBorder="1"/>
    <xf numFmtId="0" fontId="60" fillId="0" borderId="0" xfId="0" applyFont="1" applyAlignment="1">
      <alignment horizontal="left"/>
    </xf>
    <xf numFmtId="0" fontId="56" fillId="0" borderId="0" xfId="0" applyFont="1" applyAlignment="1">
      <alignment horizontal="left"/>
    </xf>
    <xf numFmtId="0" fontId="56" fillId="0" borderId="0" xfId="0" applyFont="1"/>
    <xf numFmtId="0" fontId="59" fillId="0" borderId="0" xfId="9" applyFont="1"/>
    <xf numFmtId="0" fontId="57" fillId="5" borderId="3" xfId="0" applyFont="1" applyFill="1" applyBorder="1" applyAlignment="1">
      <alignment horizontal="left" indent="4"/>
    </xf>
    <xf numFmtId="165" fontId="58" fillId="0" borderId="3" xfId="3" applyNumberFormat="1" applyFont="1" applyFill="1" applyBorder="1"/>
    <xf numFmtId="170" fontId="58" fillId="0" borderId="3" xfId="2" applyNumberFormat="1" applyFont="1" applyBorder="1"/>
    <xf numFmtId="43" fontId="16" fillId="0" borderId="3" xfId="0" applyNumberFormat="1" applyFont="1" applyBorder="1"/>
    <xf numFmtId="0" fontId="57" fillId="0" borderId="0" xfId="0" applyFont="1" applyBorder="1"/>
    <xf numFmtId="0" fontId="57" fillId="0" borderId="0" xfId="0" applyFont="1" applyBorder="1" applyAlignment="1">
      <alignment horizontal="left" indent="4"/>
    </xf>
    <xf numFmtId="165" fontId="57" fillId="0" borderId="0" xfId="3" applyNumberFormat="1" applyFont="1" applyFill="1" applyBorder="1"/>
    <xf numFmtId="0" fontId="57" fillId="0" borderId="0" xfId="9" applyFont="1" applyBorder="1"/>
    <xf numFmtId="44" fontId="16" fillId="0" borderId="3" xfId="3" applyFont="1" applyBorder="1"/>
    <xf numFmtId="44" fontId="16" fillId="0" borderId="3" xfId="0" applyNumberFormat="1" applyFont="1" applyBorder="1"/>
    <xf numFmtId="44" fontId="17" fillId="0" borderId="3" xfId="0" applyNumberFormat="1" applyFont="1" applyBorder="1"/>
    <xf numFmtId="0" fontId="8" fillId="0" borderId="3" xfId="0" applyFont="1" applyFill="1" applyBorder="1" applyAlignment="1">
      <alignment horizontal="left" vertical="center" wrapText="1"/>
    </xf>
    <xf numFmtId="165" fontId="16" fillId="5" borderId="16" xfId="3" applyNumberFormat="1" applyFont="1" applyFill="1" applyBorder="1" applyAlignment="1"/>
    <xf numFmtId="165" fontId="16" fillId="5" borderId="29" xfId="3" applyNumberFormat="1" applyFont="1" applyFill="1" applyBorder="1" applyAlignment="1"/>
    <xf numFmtId="170" fontId="16" fillId="0" borderId="3" xfId="2" applyNumberFormat="1" applyFont="1" applyFill="1" applyBorder="1" applyAlignment="1">
      <alignment horizontal="right" vertical="center" wrapText="1"/>
    </xf>
    <xf numFmtId="10" fontId="16" fillId="0" borderId="3" xfId="13" applyNumberFormat="1" applyFont="1" applyFill="1" applyBorder="1" applyAlignment="1">
      <alignment horizontal="right" vertical="center" wrapText="1"/>
    </xf>
    <xf numFmtId="170" fontId="16" fillId="5" borderId="3" xfId="2" applyNumberFormat="1" applyFont="1" applyFill="1" applyBorder="1" applyAlignment="1">
      <alignment horizontal="right" vertical="center" wrapText="1"/>
    </xf>
    <xf numFmtId="9" fontId="0" fillId="18" borderId="0" xfId="10" applyFont="1" applyFill="1"/>
    <xf numFmtId="0" fontId="16" fillId="0" borderId="16" xfId="0" applyFont="1" applyBorder="1" applyAlignment="1">
      <alignment horizontal="center"/>
    </xf>
    <xf numFmtId="0" fontId="16" fillId="0" borderId="14" xfId="0" applyFont="1" applyBorder="1" applyAlignment="1">
      <alignment horizontal="center"/>
    </xf>
    <xf numFmtId="0" fontId="17" fillId="18" borderId="0" xfId="13" applyFont="1" applyFill="1" applyAlignment="1">
      <alignment horizontal="left"/>
    </xf>
    <xf numFmtId="0" fontId="16" fillId="18" borderId="0" xfId="13" applyFont="1" applyFill="1" applyAlignment="1">
      <alignment horizontal="left"/>
    </xf>
    <xf numFmtId="170" fontId="16" fillId="0" borderId="3" xfId="2" applyNumberFormat="1" applyFont="1" applyFill="1" applyBorder="1" applyAlignment="1">
      <alignment vertical="center" wrapText="1"/>
    </xf>
    <xf numFmtId="10" fontId="16" fillId="0" borderId="3" xfId="13" applyNumberFormat="1" applyFont="1" applyFill="1" applyBorder="1" applyAlignment="1">
      <alignment vertical="center" wrapText="1"/>
    </xf>
    <xf numFmtId="170" fontId="16" fillId="0" borderId="3" xfId="2" applyNumberFormat="1" applyFont="1" applyBorder="1" applyAlignment="1"/>
    <xf numFmtId="168" fontId="16" fillId="5" borderId="3" xfId="13" applyNumberFormat="1" applyFont="1" applyFill="1" applyBorder="1" applyAlignment="1">
      <alignment horizontal="right" vertical="center" wrapText="1"/>
    </xf>
    <xf numFmtId="2" fontId="16" fillId="0" borderId="3" xfId="13" applyNumberFormat="1" applyFont="1" applyFill="1" applyBorder="1" applyAlignment="1">
      <alignment horizontal="right" vertical="center" wrapText="1"/>
    </xf>
    <xf numFmtId="174" fontId="16" fillId="0" borderId="3" xfId="10" applyNumberFormat="1" applyFont="1" applyFill="1" applyBorder="1" applyAlignment="1">
      <alignment horizontal="right" vertical="center" wrapText="1"/>
    </xf>
    <xf numFmtId="174" fontId="16" fillId="5" borderId="3" xfId="13" applyNumberFormat="1" applyFont="1" applyFill="1" applyBorder="1" applyAlignment="1">
      <alignment horizontal="right" vertical="center" wrapText="1"/>
    </xf>
    <xf numFmtId="174" fontId="16" fillId="5" borderId="3" xfId="10" applyNumberFormat="1" applyFont="1" applyFill="1" applyBorder="1" applyAlignment="1">
      <alignment horizontal="right" vertical="center" wrapText="1"/>
    </xf>
    <xf numFmtId="168" fontId="16" fillId="5" borderId="3" xfId="2" applyNumberFormat="1" applyFont="1" applyFill="1" applyBorder="1" applyAlignment="1">
      <alignment horizontal="right" vertical="center" wrapText="1"/>
    </xf>
    <xf numFmtId="0" fontId="18" fillId="8" borderId="3" xfId="13" applyFont="1" applyFill="1" applyBorder="1" applyAlignment="1">
      <alignment horizontal="center" vertical="center" wrapText="1"/>
    </xf>
    <xf numFmtId="170" fontId="58" fillId="0" borderId="39" xfId="2" applyNumberFormat="1" applyFont="1" applyFill="1" applyBorder="1"/>
    <xf numFmtId="170" fontId="58" fillId="0" borderId="39" xfId="2" applyNumberFormat="1" applyFont="1" applyBorder="1"/>
    <xf numFmtId="168" fontId="16" fillId="0" borderId="3" xfId="13" applyNumberFormat="1" applyFont="1" applyBorder="1" applyAlignment="1">
      <alignment horizontal="right" vertical="center" wrapText="1"/>
    </xf>
    <xf numFmtId="2" fontId="16" fillId="0" borderId="3" xfId="13" applyNumberFormat="1" applyFont="1" applyBorder="1" applyAlignment="1">
      <alignment horizontal="right" vertical="center" wrapText="1"/>
    </xf>
    <xf numFmtId="10" fontId="16" fillId="0" borderId="3" xfId="13" applyNumberFormat="1" applyFont="1" applyBorder="1" applyAlignment="1">
      <alignment horizontal="right" vertical="center" wrapText="1"/>
    </xf>
    <xf numFmtId="170" fontId="16" fillId="18" borderId="0" xfId="13" applyNumberFormat="1" applyFont="1" applyFill="1"/>
    <xf numFmtId="170" fontId="0" fillId="18" borderId="0" xfId="0" applyNumberFormat="1" applyFill="1" applyAlignment="1">
      <alignment horizontal="center"/>
    </xf>
    <xf numFmtId="6" fontId="8" fillId="18" borderId="0" xfId="0" applyNumberFormat="1" applyFont="1" applyFill="1"/>
    <xf numFmtId="9" fontId="16" fillId="19" borderId="14" xfId="10" applyFont="1" applyFill="1" applyBorder="1" applyAlignment="1">
      <alignment horizontal="center"/>
    </xf>
    <xf numFmtId="9" fontId="16" fillId="18" borderId="0" xfId="10" applyFont="1" applyFill="1" applyBorder="1" applyAlignment="1">
      <alignment horizontal="center"/>
    </xf>
    <xf numFmtId="9" fontId="16" fillId="18" borderId="0" xfId="10" applyFont="1" applyFill="1" applyBorder="1" applyAlignment="1">
      <alignment horizontal="center" wrapText="1"/>
    </xf>
    <xf numFmtId="3" fontId="16" fillId="17" borderId="14" xfId="13" applyNumberFormat="1" applyFont="1" applyFill="1" applyBorder="1" applyAlignment="1">
      <alignment horizontal="center"/>
    </xf>
    <xf numFmtId="0" fontId="18" fillId="8" borderId="3" xfId="13" applyFont="1" applyFill="1" applyBorder="1" applyAlignment="1">
      <alignment vertical="center" wrapText="1"/>
    </xf>
    <xf numFmtId="0" fontId="18" fillId="8" borderId="12" xfId="13" applyFont="1" applyFill="1" applyBorder="1" applyAlignment="1"/>
    <xf numFmtId="0" fontId="18" fillId="8" borderId="2" xfId="13" applyFont="1" applyFill="1" applyBorder="1" applyAlignment="1"/>
    <xf numFmtId="0" fontId="18" fillId="8" borderId="9" xfId="13" applyFont="1" applyFill="1" applyBorder="1" applyAlignment="1"/>
    <xf numFmtId="0" fontId="18" fillId="8" borderId="3" xfId="13" applyFont="1" applyFill="1" applyBorder="1" applyAlignment="1"/>
    <xf numFmtId="0" fontId="16" fillId="0" borderId="3" xfId="13" applyFont="1" applyFill="1" applyBorder="1" applyAlignment="1">
      <alignment wrapText="1"/>
    </xf>
    <xf numFmtId="0" fontId="21" fillId="8" borderId="6" xfId="9" applyFont="1" applyFill="1" applyBorder="1" applyAlignment="1">
      <alignment horizontal="center" vertical="center"/>
    </xf>
    <xf numFmtId="0" fontId="18" fillId="8" borderId="3" xfId="0" applyFont="1" applyFill="1" applyBorder="1" applyAlignment="1">
      <alignment horizontal="center" vertical="center"/>
    </xf>
    <xf numFmtId="0" fontId="18" fillId="8"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0" borderId="21" xfId="0" applyFont="1" applyFill="1" applyBorder="1" applyAlignment="1">
      <alignment horizontal="center"/>
    </xf>
    <xf numFmtId="0" fontId="8" fillId="0" borderId="3" xfId="0" applyFont="1" applyFill="1" applyBorder="1" applyAlignment="1">
      <alignment horizontal="center"/>
    </xf>
    <xf numFmtId="0" fontId="8" fillId="0" borderId="12" xfId="0" applyFont="1" applyFill="1" applyBorder="1" applyAlignment="1">
      <alignment horizontal="center"/>
    </xf>
    <xf numFmtId="0" fontId="8" fillId="0" borderId="9" xfId="0" applyFont="1" applyFill="1" applyBorder="1" applyAlignment="1">
      <alignment horizontal="center"/>
    </xf>
    <xf numFmtId="0" fontId="29" fillId="8" borderId="3" xfId="13" applyFont="1" applyFill="1" applyBorder="1" applyAlignment="1">
      <alignment horizontal="center" vertical="center" wrapText="1"/>
    </xf>
    <xf numFmtId="166" fontId="26" fillId="7" borderId="3" xfId="13" applyNumberFormat="1" applyFont="1" applyFill="1" applyBorder="1" applyAlignment="1">
      <alignment horizontal="center" vertical="center" wrapText="1"/>
    </xf>
    <xf numFmtId="0" fontId="18" fillId="8" borderId="8" xfId="13" applyFont="1" applyFill="1" applyBorder="1" applyAlignment="1">
      <alignment horizontal="center" vertical="center" wrapText="1"/>
    </xf>
    <xf numFmtId="0" fontId="18" fillId="8" borderId="7" xfId="13" applyFont="1" applyFill="1" applyBorder="1" applyAlignment="1">
      <alignment horizontal="center" vertical="center" wrapText="1"/>
    </xf>
    <xf numFmtId="0" fontId="18" fillId="8" borderId="3" xfId="13" applyFont="1" applyFill="1" applyBorder="1" applyAlignment="1">
      <alignment horizontal="center"/>
    </xf>
    <xf numFmtId="0" fontId="18" fillId="8" borderId="6" xfId="0" applyFont="1" applyFill="1" applyBorder="1" applyAlignment="1">
      <alignment horizontal="center" vertical="center" wrapText="1"/>
    </xf>
    <xf numFmtId="0" fontId="8" fillId="0" borderId="3" xfId="0" applyFont="1" applyBorder="1" applyAlignment="1">
      <alignment horizontal="center" vertical="center"/>
    </xf>
    <xf numFmtId="0" fontId="0" fillId="19" borderId="3" xfId="0" applyFont="1" applyFill="1" applyBorder="1" applyAlignment="1">
      <alignment horizontal="center" vertical="center"/>
    </xf>
    <xf numFmtId="0" fontId="8" fillId="19" borderId="3" xfId="0" applyFont="1" applyFill="1" applyBorder="1" applyAlignment="1">
      <alignment horizontal="center" vertical="center"/>
    </xf>
    <xf numFmtId="0" fontId="8" fillId="0" borderId="12" xfId="0"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21" fillId="8" borderId="6" xfId="9" applyFont="1" applyFill="1" applyBorder="1" applyAlignment="1">
      <alignment horizontal="center" vertical="center"/>
    </xf>
    <xf numFmtId="0" fontId="26" fillId="9" borderId="10" xfId="9" applyFont="1" applyFill="1" applyBorder="1" applyAlignment="1">
      <alignment horizontal="center" vertical="center" wrapText="1"/>
    </xf>
    <xf numFmtId="0" fontId="26" fillId="9" borderId="17" xfId="9" applyFont="1" applyFill="1" applyBorder="1" applyAlignment="1">
      <alignment horizontal="center" vertical="center" wrapText="1"/>
    </xf>
    <xf numFmtId="0" fontId="50" fillId="18" borderId="0" xfId="0" applyFont="1" applyFill="1" applyAlignment="1">
      <alignment horizontal="center"/>
    </xf>
    <xf numFmtId="0" fontId="29" fillId="8" borderId="21" xfId="0" applyFont="1" applyFill="1" applyBorder="1" applyAlignment="1">
      <alignment horizontal="center" vertical="center"/>
    </xf>
    <xf numFmtId="0" fontId="29" fillId="8" borderId="20" xfId="0" applyFont="1" applyFill="1" applyBorder="1" applyAlignment="1">
      <alignment horizontal="center" vertical="center"/>
    </xf>
    <xf numFmtId="0" fontId="30" fillId="9" borderId="3" xfId="0" applyFont="1" applyFill="1" applyBorder="1" applyAlignment="1">
      <alignment horizontal="left"/>
    </xf>
    <xf numFmtId="0" fontId="26" fillId="9" borderId="3" xfId="0" applyFont="1" applyFill="1" applyBorder="1" applyAlignment="1">
      <alignment horizontal="left"/>
    </xf>
    <xf numFmtId="0" fontId="18" fillId="8" borderId="3" xfId="0" applyFont="1" applyFill="1" applyBorder="1" applyAlignment="1">
      <alignment horizontal="center" vertical="center"/>
    </xf>
    <xf numFmtId="0" fontId="18" fillId="8" borderId="6" xfId="0" applyFont="1" applyFill="1" applyBorder="1" applyAlignment="1">
      <alignment horizontal="center" vertical="center"/>
    </xf>
    <xf numFmtId="0" fontId="18" fillId="8" borderId="18" xfId="0" applyFont="1" applyFill="1" applyBorder="1" applyAlignment="1">
      <alignment horizontal="center" vertical="center" wrapText="1"/>
    </xf>
    <xf numFmtId="0" fontId="18" fillId="8" borderId="24" xfId="0" applyFont="1" applyFill="1" applyBorder="1" applyAlignment="1">
      <alignment horizontal="center" vertical="center" wrapText="1"/>
    </xf>
    <xf numFmtId="0" fontId="18" fillId="8" borderId="30" xfId="0" applyFont="1" applyFill="1" applyBorder="1" applyAlignment="1">
      <alignment horizontal="center" vertical="center" wrapText="1"/>
    </xf>
    <xf numFmtId="0" fontId="18" fillId="8" borderId="21"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8" fillId="8" borderId="22"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12" xfId="0" applyFont="1" applyFill="1" applyBorder="1" applyAlignment="1">
      <alignment horizontal="center" vertical="center"/>
    </xf>
    <xf numFmtId="0" fontId="18" fillId="8" borderId="9"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11"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26" xfId="0" applyFont="1" applyFill="1" applyBorder="1" applyAlignment="1">
      <alignment horizontal="center" vertical="center"/>
    </xf>
    <xf numFmtId="0" fontId="17" fillId="9" borderId="12" xfId="0" applyFont="1" applyFill="1" applyBorder="1" applyAlignment="1">
      <alignment horizontal="center"/>
    </xf>
    <xf numFmtId="0" fontId="17" fillId="9" borderId="9" xfId="0" applyFont="1" applyFill="1" applyBorder="1" applyAlignment="1">
      <alignment horizontal="center"/>
    </xf>
    <xf numFmtId="0" fontId="18" fillId="8" borderId="2" xfId="0" applyFont="1" applyFill="1" applyBorder="1" applyAlignment="1">
      <alignment horizontal="center" vertical="center"/>
    </xf>
    <xf numFmtId="0" fontId="17" fillId="0" borderId="12" xfId="0" applyFont="1" applyBorder="1" applyAlignment="1">
      <alignment horizontal="left"/>
    </xf>
    <xf numFmtId="0" fontId="17" fillId="0" borderId="9" xfId="0" applyFont="1" applyBorder="1" applyAlignment="1">
      <alignment horizontal="left"/>
    </xf>
    <xf numFmtId="0" fontId="18" fillId="8" borderId="12" xfId="13" applyFont="1" applyFill="1" applyBorder="1" applyAlignment="1">
      <alignment horizontal="center"/>
    </xf>
    <xf numFmtId="0" fontId="18" fillId="8" borderId="2" xfId="13" applyFont="1" applyFill="1" applyBorder="1" applyAlignment="1">
      <alignment horizontal="center"/>
    </xf>
    <xf numFmtId="0" fontId="18" fillId="8" borderId="9" xfId="13" applyFont="1" applyFill="1" applyBorder="1" applyAlignment="1">
      <alignment horizontal="center"/>
    </xf>
    <xf numFmtId="0" fontId="45" fillId="0" borderId="12" xfId="13" applyFont="1" applyFill="1" applyBorder="1" applyAlignment="1">
      <alignment horizontal="left" vertical="center"/>
    </xf>
    <xf numFmtId="0" fontId="45" fillId="0" borderId="2" xfId="13" applyFont="1" applyFill="1" applyBorder="1" applyAlignment="1">
      <alignment horizontal="left" vertical="center"/>
    </xf>
    <xf numFmtId="0" fontId="45" fillId="0" borderId="9" xfId="13" applyFont="1" applyFill="1" applyBorder="1" applyAlignment="1">
      <alignment horizontal="left" vertical="center"/>
    </xf>
    <xf numFmtId="0" fontId="18" fillId="8" borderId="12" xfId="0" applyFont="1" applyFill="1" applyBorder="1" applyAlignment="1">
      <alignment horizontal="center"/>
    </xf>
    <xf numFmtId="0" fontId="18" fillId="8" borderId="2" xfId="0" applyFont="1" applyFill="1" applyBorder="1" applyAlignment="1">
      <alignment horizontal="center"/>
    </xf>
    <xf numFmtId="0" fontId="18" fillId="8" borderId="9" xfId="0" applyFont="1" applyFill="1" applyBorder="1" applyAlignment="1">
      <alignment horizontal="center"/>
    </xf>
    <xf numFmtId="0" fontId="18" fillId="8" borderId="3" xfId="0" applyFont="1" applyFill="1" applyBorder="1" applyAlignment="1">
      <alignment horizontal="right" vertical="center"/>
    </xf>
    <xf numFmtId="0" fontId="8" fillId="0" borderId="18" xfId="0" applyFont="1" applyBorder="1" applyAlignment="1">
      <alignment horizontal="center" vertical="center"/>
    </xf>
    <xf numFmtId="0" fontId="8" fillId="0" borderId="3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Border="1" applyAlignment="1">
      <alignment horizontal="center"/>
    </xf>
    <xf numFmtId="0" fontId="8" fillId="0" borderId="2" xfId="0" applyFont="1" applyBorder="1" applyAlignment="1">
      <alignment horizontal="center"/>
    </xf>
    <xf numFmtId="0" fontId="8" fillId="0" borderId="9" xfId="0" applyFont="1" applyBorder="1" applyAlignment="1">
      <alignment horizontal="center"/>
    </xf>
    <xf numFmtId="0" fontId="10" fillId="0" borderId="3" xfId="0" applyFont="1" applyFill="1" applyBorder="1" applyAlignment="1">
      <alignment horizontal="left" wrapText="1"/>
    </xf>
    <xf numFmtId="0" fontId="8" fillId="0" borderId="0" xfId="0" applyFont="1" applyFill="1" applyBorder="1" applyAlignment="1">
      <alignment horizontal="center" vertical="center" wrapText="1"/>
    </xf>
    <xf numFmtId="0" fontId="32" fillId="12" borderId="0" xfId="0" applyFont="1" applyFill="1" applyBorder="1" applyAlignment="1">
      <alignment horizontal="center" vertical="center"/>
    </xf>
    <xf numFmtId="0" fontId="33" fillId="13" borderId="12" xfId="26" applyFont="1" applyFill="1" applyBorder="1" applyAlignment="1">
      <alignment horizontal="center"/>
    </xf>
    <xf numFmtId="0" fontId="33" fillId="13" borderId="9" xfId="26" applyFont="1" applyFill="1" applyBorder="1" applyAlignment="1">
      <alignment horizontal="center"/>
    </xf>
    <xf numFmtId="0" fontId="8" fillId="0" borderId="2" xfId="0" applyFont="1" applyBorder="1" applyAlignment="1">
      <alignment horizontal="right"/>
    </xf>
    <xf numFmtId="0" fontId="8" fillId="0" borderId="9" xfId="0" applyFont="1" applyBorder="1" applyAlignment="1">
      <alignment horizontal="right"/>
    </xf>
    <xf numFmtId="0" fontId="33" fillId="13" borderId="2" xfId="26" applyFont="1" applyFill="1" applyBorder="1" applyAlignment="1">
      <alignment horizontal="center"/>
    </xf>
    <xf numFmtId="0" fontId="8" fillId="0" borderId="1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6" fillId="12" borderId="0" xfId="26" applyFont="1" applyFill="1" applyBorder="1" applyAlignment="1">
      <alignment horizontal="center" vertical="center"/>
    </xf>
    <xf numFmtId="0" fontId="8" fillId="0" borderId="12" xfId="0" applyFont="1" applyBorder="1" applyAlignment="1">
      <alignment horizontal="right"/>
    </xf>
    <xf numFmtId="0" fontId="40" fillId="0" borderId="0" xfId="26" applyFont="1" applyFill="1" applyBorder="1" applyAlignment="1">
      <alignment horizontal="center"/>
    </xf>
    <xf numFmtId="0" fontId="8" fillId="12" borderId="12"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9" xfId="0" applyFont="1" applyFill="1" applyBorder="1" applyAlignment="1">
      <alignment horizontal="center" vertical="center"/>
    </xf>
    <xf numFmtId="0" fontId="8" fillId="15" borderId="12" xfId="0" applyFont="1" applyFill="1" applyBorder="1" applyAlignment="1">
      <alignment horizontal="center"/>
    </xf>
    <xf numFmtId="0" fontId="8" fillId="15" borderId="2" xfId="0" applyFont="1" applyFill="1" applyBorder="1" applyAlignment="1">
      <alignment horizontal="center"/>
    </xf>
    <xf numFmtId="0" fontId="8" fillId="15" borderId="9" xfId="0" applyFont="1" applyFill="1" applyBorder="1" applyAlignment="1">
      <alignment horizont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12" borderId="3" xfId="0" applyFont="1" applyFill="1" applyBorder="1" applyAlignment="1">
      <alignment horizontal="center" vertical="center"/>
    </xf>
    <xf numFmtId="0" fontId="8" fillId="16" borderId="3" xfId="0" applyFont="1" applyFill="1" applyBorder="1" applyAlignment="1">
      <alignment horizontal="center" vertic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47" xfId="0" applyBorder="1" applyAlignment="1">
      <alignment horizontal="center"/>
    </xf>
    <xf numFmtId="0" fontId="0" fillId="0" borderId="46" xfId="0" applyBorder="1" applyAlignment="1">
      <alignment horizontal="center"/>
    </xf>
    <xf numFmtId="0" fontId="0" fillId="0" borderId="48" xfId="0" applyBorder="1" applyAlignment="1">
      <alignment horizontal="center"/>
    </xf>
    <xf numFmtId="1" fontId="0" fillId="0" borderId="49" xfId="0" applyNumberFormat="1" applyBorder="1" applyAlignment="1">
      <alignment horizontal="center"/>
    </xf>
    <xf numFmtId="1" fontId="0" fillId="0" borderId="50" xfId="0" applyNumberFormat="1" applyBorder="1" applyAlignment="1">
      <alignment horizontal="center"/>
    </xf>
    <xf numFmtId="1" fontId="0" fillId="0" borderId="51" xfId="0" applyNumberFormat="1" applyBorder="1" applyAlignment="1">
      <alignment horizontal="center"/>
    </xf>
    <xf numFmtId="1" fontId="0" fillId="0" borderId="35" xfId="0" applyNumberFormat="1" applyBorder="1" applyAlignment="1">
      <alignment horizontal="center"/>
    </xf>
    <xf numFmtId="1" fontId="0" fillId="0" borderId="12" xfId="0" applyNumberFormat="1" applyBorder="1" applyAlignment="1">
      <alignment horizontal="center"/>
    </xf>
    <xf numFmtId="1" fontId="0" fillId="0" borderId="9" xfId="0" applyNumberFormat="1" applyBorder="1" applyAlignment="1">
      <alignment horizontal="center"/>
    </xf>
    <xf numFmtId="1" fontId="0" fillId="0" borderId="2" xfId="0" applyNumberFormat="1" applyBorder="1" applyAlignment="1">
      <alignment horizontal="center"/>
    </xf>
    <xf numFmtId="1" fontId="0" fillId="0" borderId="3" xfId="0" applyNumberFormat="1" applyBorder="1" applyAlignment="1">
      <alignment horizontal="center"/>
    </xf>
    <xf numFmtId="2" fontId="0" fillId="0" borderId="12" xfId="0" applyNumberFormat="1" applyBorder="1" applyAlignment="1">
      <alignment horizontal="center"/>
    </xf>
    <xf numFmtId="2" fontId="0" fillId="0" borderId="9" xfId="0" applyNumberFormat="1" applyBorder="1" applyAlignment="1">
      <alignment horizontal="center"/>
    </xf>
    <xf numFmtId="2" fontId="0" fillId="0" borderId="2" xfId="0" applyNumberFormat="1" applyBorder="1" applyAlignment="1">
      <alignment horizontal="center"/>
    </xf>
    <xf numFmtId="2" fontId="0" fillId="0" borderId="3" xfId="0" applyNumberFormat="1" applyBorder="1" applyAlignment="1">
      <alignment horizontal="center"/>
    </xf>
    <xf numFmtId="0" fontId="0" fillId="0" borderId="55" xfId="0" applyBorder="1" applyAlignment="1">
      <alignment horizontal="center"/>
    </xf>
    <xf numFmtId="0" fontId="0" fillId="0" borderId="5" xfId="0" applyBorder="1" applyAlignment="1">
      <alignment horizontal="center"/>
    </xf>
    <xf numFmtId="0" fontId="0" fillId="0" borderId="56" xfId="0" applyBorder="1" applyAlignment="1">
      <alignment horizontal="center"/>
    </xf>
    <xf numFmtId="1" fontId="0" fillId="5" borderId="57" xfId="0" applyNumberFormat="1" applyFill="1" applyBorder="1" applyAlignment="1">
      <alignment horizontal="center"/>
    </xf>
    <xf numFmtId="1" fontId="0" fillId="5" borderId="58" xfId="0" applyNumberFormat="1" applyFill="1" applyBorder="1" applyAlignment="1">
      <alignment horizontal="center"/>
    </xf>
    <xf numFmtId="1" fontId="0" fillId="5" borderId="60" xfId="0" applyNumberFormat="1" applyFill="1" applyBorder="1" applyAlignment="1">
      <alignment horizontal="center"/>
    </xf>
    <xf numFmtId="0" fontId="8" fillId="15" borderId="61" xfId="0" applyFont="1" applyFill="1" applyBorder="1" applyAlignment="1">
      <alignment horizontal="center"/>
    </xf>
    <xf numFmtId="0" fontId="8" fillId="15" borderId="51" xfId="0" applyFont="1" applyFill="1" applyBorder="1" applyAlignment="1">
      <alignment horizontal="center"/>
    </xf>
    <xf numFmtId="0" fontId="8" fillId="15" borderId="62" xfId="0" applyFont="1" applyFill="1" applyBorder="1" applyAlignment="1">
      <alignment horizontal="center"/>
    </xf>
    <xf numFmtId="0" fontId="8" fillId="0" borderId="48" xfId="0" applyFont="1" applyFill="1" applyBorder="1" applyAlignment="1">
      <alignment horizontal="center"/>
    </xf>
    <xf numFmtId="0" fontId="8" fillId="0" borderId="64" xfId="0" applyFont="1" applyFill="1" applyBorder="1" applyAlignment="1">
      <alignment horizontal="center"/>
    </xf>
    <xf numFmtId="10" fontId="0" fillId="0" borderId="12" xfId="0" applyNumberFormat="1" applyBorder="1" applyAlignment="1">
      <alignment horizontal="center"/>
    </xf>
    <xf numFmtId="10" fontId="0" fillId="0" borderId="9" xfId="0" applyNumberFormat="1" applyBorder="1" applyAlignment="1">
      <alignment horizontal="center"/>
    </xf>
    <xf numFmtId="10" fontId="0" fillId="0" borderId="2" xfId="0" applyNumberFormat="1" applyBorder="1" applyAlignment="1">
      <alignment horizontal="center"/>
    </xf>
    <xf numFmtId="10" fontId="0" fillId="0" borderId="3" xfId="0" applyNumberFormat="1" applyBorder="1" applyAlignment="1">
      <alignment horizontal="center"/>
    </xf>
    <xf numFmtId="168" fontId="0" fillId="0" borderId="47" xfId="0" applyNumberFormat="1" applyBorder="1" applyAlignment="1">
      <alignment horizontal="center"/>
    </xf>
    <xf numFmtId="168" fontId="0" fillId="0" borderId="46" xfId="0" applyNumberFormat="1" applyBorder="1" applyAlignment="1">
      <alignment horizontal="center"/>
    </xf>
    <xf numFmtId="168" fontId="0" fillId="0" borderId="48" xfId="0" applyNumberFormat="1" applyBorder="1" applyAlignment="1">
      <alignment horizontal="center"/>
    </xf>
    <xf numFmtId="168" fontId="0" fillId="0" borderId="39" xfId="0" applyNumberFormat="1" applyBorder="1" applyAlignment="1">
      <alignment horizontal="center"/>
    </xf>
    <xf numFmtId="0" fontId="8" fillId="0" borderId="3" xfId="0" applyFont="1" applyFill="1" applyBorder="1" applyAlignment="1">
      <alignment horizontal="center"/>
    </xf>
    <xf numFmtId="0" fontId="0" fillId="0" borderId="3" xfId="0" applyFill="1" applyBorder="1" applyAlignment="1">
      <alignment horizontal="center"/>
    </xf>
    <xf numFmtId="0" fontId="8" fillId="15" borderId="49" xfId="0" applyFont="1" applyFill="1" applyBorder="1" applyAlignment="1">
      <alignment horizontal="center"/>
    </xf>
    <xf numFmtId="0" fontId="8" fillId="0" borderId="5" xfId="0" applyFont="1" applyBorder="1" applyAlignment="1">
      <alignment horizontal="center"/>
    </xf>
    <xf numFmtId="0" fontId="8" fillId="15" borderId="50" xfId="0" applyFont="1" applyFill="1" applyBorder="1" applyAlignment="1">
      <alignment horizontal="center"/>
    </xf>
    <xf numFmtId="0" fontId="8" fillId="0" borderId="66" xfId="0" applyFont="1" applyBorder="1" applyAlignment="1">
      <alignment horizontal="center"/>
    </xf>
    <xf numFmtId="0" fontId="0" fillId="0" borderId="3" xfId="0" applyBorder="1" applyAlignment="1">
      <alignment horizontal="center"/>
    </xf>
    <xf numFmtId="0" fontId="8" fillId="0" borderId="12" xfId="0" applyFont="1" applyFill="1" applyBorder="1" applyAlignment="1">
      <alignment horizontal="center"/>
    </xf>
    <xf numFmtId="0" fontId="8" fillId="0" borderId="2" xfId="0" applyFont="1" applyFill="1" applyBorder="1" applyAlignment="1">
      <alignment horizontal="center"/>
    </xf>
    <xf numFmtId="0" fontId="8" fillId="0" borderId="21" xfId="0" applyFont="1" applyFill="1" applyBorder="1" applyAlignment="1">
      <alignment horizontal="center"/>
    </xf>
    <xf numFmtId="0" fontId="0" fillId="0" borderId="22" xfId="0" applyFill="1" applyBorder="1" applyAlignment="1">
      <alignment horizontal="center"/>
    </xf>
    <xf numFmtId="0" fontId="8" fillId="0" borderId="20" xfId="0" applyFont="1" applyFill="1" applyBorder="1" applyAlignment="1">
      <alignment horizontal="center"/>
    </xf>
    <xf numFmtId="0" fontId="8" fillId="0" borderId="9" xfId="0" applyFont="1" applyFill="1" applyBorder="1" applyAlignment="1">
      <alignment horizontal="center"/>
    </xf>
    <xf numFmtId="0" fontId="0" fillId="0" borderId="21" xfId="0" applyFill="1" applyBorder="1" applyAlignment="1">
      <alignment horizontal="center"/>
    </xf>
    <xf numFmtId="0" fontId="54" fillId="18" borderId="0" xfId="13" applyFont="1" applyFill="1" applyAlignment="1">
      <alignment horizontal="center"/>
    </xf>
    <xf numFmtId="0" fontId="18" fillId="8" borderId="12" xfId="13" applyFont="1" applyFill="1" applyBorder="1" applyAlignment="1">
      <alignment horizontal="center" vertical="center" wrapText="1"/>
    </xf>
    <xf numFmtId="0" fontId="18" fillId="8" borderId="2" xfId="13" applyFont="1" applyFill="1" applyBorder="1" applyAlignment="1">
      <alignment horizontal="center" vertical="center" wrapText="1"/>
    </xf>
    <xf numFmtId="0" fontId="18" fillId="8" borderId="9" xfId="13" applyFont="1" applyFill="1" applyBorder="1" applyAlignment="1">
      <alignment horizontal="center" vertical="center" wrapText="1"/>
    </xf>
    <xf numFmtId="0" fontId="16" fillId="18" borderId="12" xfId="13" applyFont="1" applyFill="1" applyBorder="1" applyAlignment="1">
      <alignment horizontal="left"/>
    </xf>
    <xf numFmtId="0" fontId="16" fillId="18" borderId="2" xfId="13" applyFont="1" applyFill="1" applyBorder="1" applyAlignment="1">
      <alignment horizontal="left"/>
    </xf>
    <xf numFmtId="0" fontId="16" fillId="18" borderId="9" xfId="13" applyFont="1" applyFill="1" applyBorder="1" applyAlignment="1">
      <alignment horizontal="left"/>
    </xf>
    <xf numFmtId="0" fontId="18" fillId="8" borderId="21" xfId="13" applyFont="1" applyFill="1" applyBorder="1" applyAlignment="1">
      <alignment horizontal="center"/>
    </xf>
    <xf numFmtId="0" fontId="18" fillId="8" borderId="22" xfId="13" applyFont="1" applyFill="1" applyBorder="1" applyAlignment="1">
      <alignment horizontal="center"/>
    </xf>
    <xf numFmtId="0" fontId="18" fillId="8" borderId="3" xfId="13" applyFont="1" applyFill="1" applyBorder="1" applyAlignment="1">
      <alignment horizontal="center"/>
    </xf>
    <xf numFmtId="0" fontId="17" fillId="8" borderId="3" xfId="13" applyFont="1" applyFill="1" applyBorder="1" applyAlignment="1">
      <alignment horizontal="center" vertical="center" wrapText="1"/>
    </xf>
    <xf numFmtId="0" fontId="18" fillId="8" borderId="3" xfId="13" applyFont="1" applyFill="1" applyBorder="1" applyAlignment="1">
      <alignment horizontal="center" vertical="center"/>
    </xf>
    <xf numFmtId="0" fontId="18" fillId="8" borderId="8" xfId="13" applyFont="1" applyFill="1" applyBorder="1" applyAlignment="1">
      <alignment horizontal="center" vertical="center" wrapText="1"/>
    </xf>
    <xf numFmtId="0" fontId="18" fillId="8" borderId="4" xfId="13" applyFont="1" applyFill="1" applyBorder="1" applyAlignment="1">
      <alignment horizontal="center" vertical="center" wrapText="1"/>
    </xf>
    <xf numFmtId="0" fontId="18" fillId="8" borderId="7" xfId="13" applyFont="1" applyFill="1" applyBorder="1" applyAlignment="1">
      <alignment horizontal="center" vertical="center" wrapText="1"/>
    </xf>
    <xf numFmtId="0" fontId="17" fillId="0" borderId="21" xfId="13" applyFont="1" applyFill="1" applyBorder="1" applyAlignment="1">
      <alignment horizontal="right"/>
    </xf>
    <xf numFmtId="0" fontId="17" fillId="0" borderId="22" xfId="13" applyFont="1" applyFill="1" applyBorder="1" applyAlignment="1">
      <alignment horizontal="right"/>
    </xf>
    <xf numFmtId="0" fontId="18" fillId="8" borderId="8" xfId="13" applyFont="1" applyFill="1" applyBorder="1" applyAlignment="1">
      <alignment horizontal="center" vertical="center"/>
    </xf>
    <xf numFmtId="0" fontId="18" fillId="8" borderId="4" xfId="13" applyFont="1" applyFill="1" applyBorder="1" applyAlignment="1">
      <alignment horizontal="center" vertical="center"/>
    </xf>
    <xf numFmtId="0" fontId="18" fillId="8" borderId="7" xfId="13" applyFont="1" applyFill="1" applyBorder="1" applyAlignment="1">
      <alignment horizontal="center" vertical="center"/>
    </xf>
    <xf numFmtId="0" fontId="18" fillId="8" borderId="18" xfId="13" applyFont="1" applyFill="1" applyBorder="1" applyAlignment="1">
      <alignment horizontal="center" vertical="center" wrapText="1"/>
    </xf>
    <xf numFmtId="0" fontId="18" fillId="8" borderId="30" xfId="13" applyFont="1" applyFill="1" applyBorder="1" applyAlignment="1">
      <alignment horizontal="center" vertical="center" wrapText="1"/>
    </xf>
    <xf numFmtId="0" fontId="18" fillId="8" borderId="21" xfId="13" applyFont="1" applyFill="1" applyBorder="1" applyAlignment="1">
      <alignment horizontal="center" vertical="center" wrapText="1"/>
    </xf>
    <xf numFmtId="0" fontId="18" fillId="8" borderId="22" xfId="13" applyFont="1" applyFill="1" applyBorder="1" applyAlignment="1">
      <alignment horizontal="center" vertical="center" wrapText="1"/>
    </xf>
    <xf numFmtId="0" fontId="18" fillId="8" borderId="12" xfId="13" applyFont="1" applyFill="1" applyBorder="1" applyAlignment="1">
      <alignment horizontal="center" vertical="center"/>
    </xf>
    <xf numFmtId="0" fontId="18" fillId="8" borderId="9" xfId="13" applyFont="1" applyFill="1" applyBorder="1" applyAlignment="1">
      <alignment horizontal="center" vertical="center"/>
    </xf>
    <xf numFmtId="0" fontId="29" fillId="8" borderId="3" xfId="13" applyFont="1" applyFill="1" applyBorder="1" applyAlignment="1">
      <alignment horizontal="center" vertical="center" wrapText="1"/>
    </xf>
    <xf numFmtId="0" fontId="26" fillId="10" borderId="3" xfId="13" applyFont="1" applyFill="1" applyBorder="1" applyAlignment="1">
      <alignment horizontal="center" vertical="center" wrapText="1"/>
    </xf>
    <xf numFmtId="166" fontId="26" fillId="7" borderId="3" xfId="13" applyNumberFormat="1" applyFont="1" applyFill="1" applyBorder="1" applyAlignment="1">
      <alignment horizontal="center" vertical="center" wrapText="1"/>
    </xf>
    <xf numFmtId="0" fontId="18" fillId="8" borderId="19" xfId="13" applyFont="1" applyFill="1" applyBorder="1" applyAlignment="1">
      <alignment horizontal="center" vertical="center" wrapText="1"/>
    </xf>
    <xf numFmtId="0" fontId="18" fillId="8" borderId="0" xfId="13" applyFont="1" applyFill="1" applyBorder="1" applyAlignment="1">
      <alignment horizontal="center" vertical="center" wrapText="1"/>
    </xf>
    <xf numFmtId="0" fontId="16" fillId="0" borderId="3" xfId="0" applyFont="1" applyBorder="1" applyAlignment="1">
      <alignment horizontal="left" wrapText="1"/>
    </xf>
    <xf numFmtId="0" fontId="18" fillId="8" borderId="5" xfId="13" applyFont="1" applyFill="1" applyBorder="1" applyAlignment="1">
      <alignment horizontal="center" vertical="center" wrapText="1"/>
    </xf>
    <xf numFmtId="0" fontId="25" fillId="0" borderId="3" xfId="13" applyFont="1" applyFill="1" applyBorder="1" applyAlignment="1">
      <alignment horizontal="left" vertical="center"/>
    </xf>
    <xf numFmtId="0" fontId="18" fillId="8" borderId="19" xfId="13" applyFont="1" applyFill="1" applyBorder="1" applyAlignment="1">
      <alignment horizontal="center"/>
    </xf>
    <xf numFmtId="0" fontId="18" fillId="8" borderId="0" xfId="13" applyFont="1" applyFill="1" applyBorder="1" applyAlignment="1">
      <alignment horizontal="center"/>
    </xf>
    <xf numFmtId="0" fontId="21" fillId="8" borderId="21" xfId="0" applyFont="1" applyFill="1" applyBorder="1" applyAlignment="1">
      <alignment horizontal="center"/>
    </xf>
    <xf numFmtId="0" fontId="21" fillId="8" borderId="20" xfId="0" applyFont="1" applyFill="1" applyBorder="1" applyAlignment="1">
      <alignment horizontal="center"/>
    </xf>
    <xf numFmtId="0" fontId="21" fillId="8" borderId="61" xfId="0" applyFont="1" applyFill="1" applyBorder="1" applyAlignment="1">
      <alignment horizontal="center" vertical="center"/>
    </xf>
    <xf numFmtId="0" fontId="21" fillId="8" borderId="51" xfId="0" applyFont="1" applyFill="1" applyBorder="1" applyAlignment="1">
      <alignment horizontal="center" vertical="center"/>
    </xf>
    <xf numFmtId="0" fontId="21" fillId="8" borderId="62" xfId="0" applyFont="1" applyFill="1" applyBorder="1" applyAlignment="1">
      <alignment horizontal="center" vertical="center"/>
    </xf>
    <xf numFmtId="0" fontId="0" fillId="18" borderId="3" xfId="0" applyFont="1" applyFill="1" applyBorder="1" applyAlignment="1">
      <alignment horizontal="left" vertical="center" wrapText="1"/>
    </xf>
    <xf numFmtId="0" fontId="0" fillId="18" borderId="3" xfId="0" applyFill="1" applyBorder="1" applyAlignment="1">
      <alignment horizontal="left" vertical="center" wrapText="1"/>
    </xf>
    <xf numFmtId="0" fontId="8" fillId="18" borderId="3" xfId="0" applyFont="1" applyFill="1" applyBorder="1" applyAlignment="1">
      <alignment horizontal="left" vertical="center" wrapText="1"/>
    </xf>
    <xf numFmtId="0" fontId="18" fillId="8" borderId="3" xfId="0" applyFont="1" applyFill="1" applyBorder="1" applyAlignment="1">
      <alignment horizontal="center" vertical="center" wrapText="1"/>
    </xf>
    <xf numFmtId="0" fontId="0" fillId="0" borderId="3" xfId="0" applyBorder="1" applyAlignment="1">
      <alignment horizontal="center" vertical="center"/>
    </xf>
    <xf numFmtId="0" fontId="8" fillId="0" borderId="3" xfId="0" applyFont="1" applyBorder="1" applyAlignment="1">
      <alignment horizontal="center" vertical="center"/>
    </xf>
    <xf numFmtId="0" fontId="0" fillId="19" borderId="3" xfId="0" applyFont="1" applyFill="1" applyBorder="1" applyAlignment="1">
      <alignment horizontal="center" vertical="center"/>
    </xf>
    <xf numFmtId="0" fontId="8" fillId="19" borderId="3" xfId="0" applyFont="1" applyFill="1" applyBorder="1" applyAlignment="1">
      <alignment horizontal="center" vertical="center"/>
    </xf>
    <xf numFmtId="0" fontId="0" fillId="19" borderId="3" xfId="0" applyFill="1" applyBorder="1" applyAlignment="1">
      <alignment horizontal="center" vertical="center"/>
    </xf>
    <xf numFmtId="0" fontId="0" fillId="19" borderId="30" xfId="0" applyFill="1" applyBorder="1" applyAlignment="1">
      <alignment horizontal="center" vertical="center"/>
    </xf>
    <xf numFmtId="0" fontId="0" fillId="19" borderId="22" xfId="0" applyFill="1" applyBorder="1" applyAlignment="1">
      <alignment horizontal="center" vertical="center"/>
    </xf>
    <xf numFmtId="0" fontId="8" fillId="19" borderId="8" xfId="0" applyFont="1" applyFill="1" applyBorder="1" applyAlignment="1">
      <alignment horizontal="center" vertical="center"/>
    </xf>
    <xf numFmtId="0" fontId="8" fillId="19" borderId="5" xfId="0" applyFont="1" applyFill="1" applyBorder="1" applyAlignment="1">
      <alignment horizontal="center" vertical="center"/>
    </xf>
    <xf numFmtId="0" fontId="49" fillId="0" borderId="59" xfId="0" applyFont="1" applyFill="1" applyBorder="1" applyAlignment="1">
      <alignment horizontal="left"/>
    </xf>
    <xf numFmtId="0" fontId="49" fillId="0" borderId="8" xfId="0" applyFont="1" applyFill="1" applyBorder="1" applyAlignment="1">
      <alignment horizontal="left"/>
    </xf>
    <xf numFmtId="0" fontId="49" fillId="0" borderId="44" xfId="0" applyFont="1" applyFill="1" applyBorder="1" applyAlignment="1">
      <alignment horizontal="left"/>
    </xf>
    <xf numFmtId="0" fontId="10" fillId="0" borderId="12" xfId="0" applyFont="1" applyBorder="1" applyAlignment="1">
      <alignment horizontal="right"/>
    </xf>
    <xf numFmtId="0" fontId="10" fillId="0" borderId="2" xfId="0" applyFont="1" applyBorder="1" applyAlignment="1">
      <alignment horizontal="right"/>
    </xf>
    <xf numFmtId="0" fontId="10" fillId="0" borderId="9" xfId="0" applyFont="1" applyBorder="1" applyAlignment="1">
      <alignment horizontal="right"/>
    </xf>
    <xf numFmtId="0" fontId="18" fillId="8" borderId="34" xfId="0" applyFont="1" applyFill="1" applyBorder="1" applyAlignment="1">
      <alignment horizontal="center" vertical="center"/>
    </xf>
    <xf numFmtId="0" fontId="18" fillId="8" borderId="35" xfId="0" applyFont="1" applyFill="1" applyBorder="1" applyAlignment="1">
      <alignment horizontal="center" vertical="center"/>
    </xf>
    <xf numFmtId="0" fontId="18" fillId="8" borderId="36" xfId="0" applyFont="1" applyFill="1" applyBorder="1" applyAlignment="1">
      <alignment horizontal="center" vertical="center"/>
    </xf>
    <xf numFmtId="0" fontId="8" fillId="0" borderId="70" xfId="0" applyFont="1" applyFill="1" applyBorder="1" applyAlignment="1">
      <alignment horizontal="left" vertical="center"/>
    </xf>
    <xf numFmtId="0" fontId="8" fillId="0" borderId="71" xfId="0" applyFont="1" applyFill="1" applyBorder="1" applyAlignment="1">
      <alignment horizontal="left" vertical="center"/>
    </xf>
    <xf numFmtId="0" fontId="8" fillId="0" borderId="57" xfId="0" applyFont="1" applyFill="1" applyBorder="1" applyAlignment="1">
      <alignment horizontal="left" vertical="center"/>
    </xf>
    <xf numFmtId="0" fontId="18" fillId="8" borderId="70" xfId="0" applyFont="1" applyFill="1" applyBorder="1" applyAlignment="1">
      <alignment horizontal="center" vertical="center"/>
    </xf>
    <xf numFmtId="0" fontId="18" fillId="8" borderId="71" xfId="0" applyFont="1" applyFill="1" applyBorder="1" applyAlignment="1">
      <alignment horizontal="center" vertical="center"/>
    </xf>
    <xf numFmtId="0" fontId="18" fillId="8" borderId="57" xfId="0" applyFont="1" applyFill="1" applyBorder="1" applyAlignment="1">
      <alignment horizontal="center" vertical="center"/>
    </xf>
    <xf numFmtId="0" fontId="29" fillId="8" borderId="21" xfId="13" applyFont="1" applyFill="1" applyBorder="1" applyAlignment="1">
      <alignment horizontal="center" vertical="center" wrapText="1"/>
    </xf>
    <xf numFmtId="0" fontId="29" fillId="8" borderId="20" xfId="13" applyFont="1" applyFill="1" applyBorder="1" applyAlignment="1">
      <alignment horizontal="center" vertical="center" wrapText="1"/>
    </xf>
    <xf numFmtId="0" fontId="26" fillId="10" borderId="12" xfId="13" applyFont="1" applyFill="1" applyBorder="1" applyAlignment="1">
      <alignment horizontal="center" vertical="center" wrapText="1"/>
    </xf>
    <xf numFmtId="0" fontId="26" fillId="10" borderId="9" xfId="13" applyFont="1" applyFill="1" applyBorder="1" applyAlignment="1">
      <alignment horizontal="center" vertical="center" wrapText="1"/>
    </xf>
    <xf numFmtId="0" fontId="18" fillId="8" borderId="21" xfId="0" applyFont="1" applyFill="1" applyBorder="1" applyAlignment="1">
      <alignment horizontal="center" vertical="center"/>
    </xf>
    <xf numFmtId="0" fontId="18" fillId="8" borderId="20" xfId="0" applyFont="1" applyFill="1" applyBorder="1" applyAlignment="1">
      <alignment horizontal="center" vertical="center"/>
    </xf>
    <xf numFmtId="0" fontId="18" fillId="8" borderId="12"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6" xfId="0" applyFont="1" applyFill="1" applyBorder="1" applyAlignment="1">
      <alignment horizontal="center" vertical="center" wrapText="1"/>
    </xf>
  </cellXfs>
  <cellStyles count="36">
    <cellStyle name="active" xfId="1" xr:uid="{00000000-0005-0000-0000-000000000000}"/>
    <cellStyle name="Comma" xfId="2" builtinId="3"/>
    <cellStyle name="Comma 2" xfId="14" xr:uid="{00000000-0005-0000-0000-000002000000}"/>
    <cellStyle name="Comma 3" xfId="24" xr:uid="{00000000-0005-0000-0000-000003000000}"/>
    <cellStyle name="Comma 4" xfId="27" xr:uid="{70843B5B-5B20-425F-A562-FE6217C273E5}"/>
    <cellStyle name="Comma 4 2" xfId="30" xr:uid="{7F7CD4DC-138E-45B6-BD63-8E20BBB70E88}"/>
    <cellStyle name="Comma 4 3" xfId="35" xr:uid="{865A539E-9617-4A9C-8676-579A16C2A4E3}"/>
    <cellStyle name="Currency" xfId="3" builtinId="4"/>
    <cellStyle name="Currency 2" xfId="31" xr:uid="{1EBC2143-73A8-4208-9DCD-D028241C161F}"/>
    <cellStyle name="Currency 2 2" xfId="21" xr:uid="{00000000-0005-0000-0000-000005000000}"/>
    <cellStyle name="Currency 2 3" xfId="34" xr:uid="{C888180E-8EEF-4125-8A3B-FB0092CDE3C9}"/>
    <cellStyle name="Currency 3" xfId="22" xr:uid="{00000000-0005-0000-0000-000006000000}"/>
    <cellStyle name="Currency 8" xfId="18" xr:uid="{00000000-0005-0000-0000-000007000000}"/>
    <cellStyle name="Grey" xfId="4" xr:uid="{00000000-0005-0000-0000-000008000000}"/>
    <cellStyle name="Header1" xfId="5" xr:uid="{00000000-0005-0000-0000-000009000000}"/>
    <cellStyle name="Header2" xfId="6" xr:uid="{00000000-0005-0000-0000-00000A000000}"/>
    <cellStyle name="Hyperlink" xfId="28" builtinId="8"/>
    <cellStyle name="Hyperlink 2" xfId="32" xr:uid="{A264FA62-74C7-4D6F-A50F-0F3D7D9AD2C0}"/>
    <cellStyle name="Input [yellow]" xfId="7" xr:uid="{00000000-0005-0000-0000-00000C000000}"/>
    <cellStyle name="Normal" xfId="0" builtinId="0"/>
    <cellStyle name="Normal - Style1" xfId="8" xr:uid="{00000000-0005-0000-0000-00000E000000}"/>
    <cellStyle name="Normal 11" xfId="17" xr:uid="{00000000-0005-0000-0000-00000F000000}"/>
    <cellStyle name="Normal 11 2" xfId="25" xr:uid="{00000000-0005-0000-0000-000010000000}"/>
    <cellStyle name="Normal 16" xfId="13" xr:uid="{00000000-0005-0000-0000-000011000000}"/>
    <cellStyle name="Normal 2" xfId="9" xr:uid="{00000000-0005-0000-0000-000012000000}"/>
    <cellStyle name="Normal 2 2" xfId="20" xr:uid="{00000000-0005-0000-0000-000013000000}"/>
    <cellStyle name="Normal 3" xfId="29" xr:uid="{1925518A-B263-4CFD-BB5E-0709EEAC8044}"/>
    <cellStyle name="Normal 3 2" xfId="33" xr:uid="{AA2B0321-D12C-419B-9E75-E60F81B6AD7A}"/>
    <cellStyle name="Normal 4" xfId="15" xr:uid="{00000000-0005-0000-0000-000014000000}"/>
    <cellStyle name="Normal 4 2" xfId="16" xr:uid="{00000000-0005-0000-0000-000015000000}"/>
    <cellStyle name="Normal 4 2 2" xfId="26" xr:uid="{BCC2316D-3890-4BC2-81F5-EA24DB0F5E68}"/>
    <cellStyle name="Normal 4 3" xfId="19" xr:uid="{00000000-0005-0000-0000-000016000000}"/>
    <cellStyle name="Normal 5" xfId="23" xr:uid="{00000000-0005-0000-0000-000017000000}"/>
    <cellStyle name="Percent" xfId="10" builtinId="5"/>
    <cellStyle name="Percent [2]" xfId="11" xr:uid="{00000000-0005-0000-0000-000019000000}"/>
    <cellStyle name="PSChar" xfId="12" xr:uid="{00000000-0005-0000-0000-00001A000000}"/>
  </cellStyles>
  <dxfs count="0"/>
  <tableStyles count="0" defaultTableStyle="TableStyleMedium9" defaultPivotStyle="PivotStyleLight16"/>
  <colors>
    <mruColors>
      <color rgb="FFFFFFCC"/>
      <color rgb="FFFEF5E4"/>
      <color rgb="FFFDB924"/>
      <color rgb="FF029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446314</xdr:colOff>
      <xdr:row>96</xdr:row>
      <xdr:rowOff>108858</xdr:rowOff>
    </xdr:from>
    <xdr:to>
      <xdr:col>8</xdr:col>
      <xdr:colOff>79447</xdr:colOff>
      <xdr:row>127</xdr:row>
      <xdr:rowOff>47001</xdr:rowOff>
    </xdr:to>
    <xdr:pic>
      <xdr:nvPicPr>
        <xdr:cNvPr id="2" name="Picture 1">
          <a:extLst>
            <a:ext uri="{FF2B5EF4-FFF2-40B4-BE49-F238E27FC236}">
              <a16:creationId xmlns:a16="http://schemas.microsoft.com/office/drawing/2014/main" id="{CB58988C-2622-4637-81A2-913BF41FDBFE}"/>
            </a:ext>
          </a:extLst>
        </xdr:cNvPr>
        <xdr:cNvPicPr>
          <a:picLocks noChangeAspect="1"/>
        </xdr:cNvPicPr>
      </xdr:nvPicPr>
      <xdr:blipFill>
        <a:blip xmlns:r="http://schemas.openxmlformats.org/officeDocument/2006/relationships" r:embed="rId1"/>
        <a:stretch>
          <a:fillRect/>
        </a:stretch>
      </xdr:blipFill>
      <xdr:spPr>
        <a:xfrm>
          <a:off x="446314" y="16606158"/>
          <a:ext cx="6681633" cy="5134983"/>
        </a:xfrm>
        <a:prstGeom prst="rect">
          <a:avLst/>
        </a:prstGeom>
      </xdr:spPr>
    </xdr:pic>
    <xdr:clientData/>
  </xdr:twoCellAnchor>
  <xdr:twoCellAnchor editAs="oneCell">
    <xdr:from>
      <xdr:col>8</xdr:col>
      <xdr:colOff>272142</xdr:colOff>
      <xdr:row>96</xdr:row>
      <xdr:rowOff>130629</xdr:rowOff>
    </xdr:from>
    <xdr:to>
      <xdr:col>18</xdr:col>
      <xdr:colOff>580237</xdr:colOff>
      <xdr:row>104</xdr:row>
      <xdr:rowOff>81486</xdr:rowOff>
    </xdr:to>
    <xdr:pic>
      <xdr:nvPicPr>
        <xdr:cNvPr id="3" name="Picture 2">
          <a:extLst>
            <a:ext uri="{FF2B5EF4-FFF2-40B4-BE49-F238E27FC236}">
              <a16:creationId xmlns:a16="http://schemas.microsoft.com/office/drawing/2014/main" id="{66E525B3-3B88-4D13-9877-CD9CB3533607}"/>
            </a:ext>
          </a:extLst>
        </xdr:cNvPr>
        <xdr:cNvPicPr>
          <a:picLocks noChangeAspect="1"/>
        </xdr:cNvPicPr>
      </xdr:nvPicPr>
      <xdr:blipFill>
        <a:blip xmlns:r="http://schemas.openxmlformats.org/officeDocument/2006/relationships" r:embed="rId2"/>
        <a:stretch>
          <a:fillRect/>
        </a:stretch>
      </xdr:blipFill>
      <xdr:spPr>
        <a:xfrm>
          <a:off x="7320642" y="16627929"/>
          <a:ext cx="6327895" cy="1291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204107</xdr:colOff>
      <xdr:row>94</xdr:row>
      <xdr:rowOff>108856</xdr:rowOff>
    </xdr:from>
    <xdr:to>
      <xdr:col>2</xdr:col>
      <xdr:colOff>644800</xdr:colOff>
      <xdr:row>107</xdr:row>
      <xdr:rowOff>71574</xdr:rowOff>
    </xdr:to>
    <xdr:pic>
      <xdr:nvPicPr>
        <xdr:cNvPr id="2" name="Picture 1">
          <a:extLst>
            <a:ext uri="{FF2B5EF4-FFF2-40B4-BE49-F238E27FC236}">
              <a16:creationId xmlns:a16="http://schemas.microsoft.com/office/drawing/2014/main" id="{EAFA030A-2471-4372-BA98-E2D00F80CDDB}"/>
            </a:ext>
          </a:extLst>
        </xdr:cNvPr>
        <xdr:cNvPicPr>
          <a:picLocks noChangeAspect="1"/>
        </xdr:cNvPicPr>
      </xdr:nvPicPr>
      <xdr:blipFill>
        <a:blip xmlns:r="http://schemas.openxmlformats.org/officeDocument/2006/relationships" r:embed="rId1"/>
        <a:stretch>
          <a:fillRect/>
        </a:stretch>
      </xdr:blipFill>
      <xdr:spPr>
        <a:xfrm>
          <a:off x="6711587" y="9946276"/>
          <a:ext cx="3610931" cy="20753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Wyoming%20TIGER\CBA%20Working%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EMCKEN~1\LOCALS~1\Temp\notesE97E9E\Template%20of%20Benefits%20%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TWFP01\Data\Project\FTW_TPTO\061018034\xls\Service%20Area%20D\2007_8_11_FTW_RIF_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COW00\Jobs4\66428\TaskOrder7\Planning\WorkTasks\BCA\2019_ODOT_INFRA_US-81_B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Matrix"/>
      <sheetName val="START Summary"/>
      <sheetName val="START Narrative"/>
      <sheetName val="START Distance Benefit"/>
      <sheetName val="START Costs"/>
      <sheetName val="START VMT Table"/>
      <sheetName val="START Assumptions"/>
      <sheetName val="START Inside Storage Benefit"/>
      <sheetName val="START Mobility Benefit"/>
      <sheetName val="START Safety Benefit"/>
      <sheetName val="START Cost of Extra Idling"/>
      <sheetName val="START Road Cost Benefit"/>
      <sheetName val="START Parking Benefit"/>
      <sheetName val="START Remaining Capital Value"/>
      <sheetName val="START Global Benefit"/>
      <sheetName val="START Energy Cost"/>
      <sheetName val="START CNG Benefits"/>
      <sheetName val="START Value of CO2 rdct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nnel Capacity"/>
      <sheetName val="Notes"/>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vered_Sheet1"/>
      <sheetName val="NEW ROAD"/>
      <sheetName val="CCI"/>
      <sheetName val="PayItems"/>
      <sheetName val="Basswood (4)"/>
      <sheetName val="Basswood (5)"/>
      <sheetName val="Basswood (6)"/>
      <sheetName val="Basswood (7)"/>
      <sheetName val="Summerfields"/>
      <sheetName val="NTP (2)"/>
      <sheetName val="NTP (3)"/>
      <sheetName val="NTP (4)"/>
      <sheetName val="Shiver"/>
      <sheetName val="Heritage Trace (5)"/>
      <sheetName val="Heritage Trace (6)"/>
      <sheetName val="Heritage Trace (7)"/>
      <sheetName val="Golden Triangle (2)"/>
      <sheetName val="Golden Triangle (3)"/>
      <sheetName val="Golden Triangle (4)"/>
      <sheetName val="Keller Hicks (2)"/>
      <sheetName val="Keller Hicks (3)"/>
      <sheetName val="Keller Hicks (4)"/>
      <sheetName val="Timberland (1)"/>
      <sheetName val="Timberland (2)"/>
      <sheetName val="Timberland (3)"/>
      <sheetName val="N. Riverside (1)"/>
      <sheetName val="N. Riverside (2)"/>
      <sheetName val="N. Riverside (3)"/>
      <sheetName val="N. Riverside (4)"/>
      <sheetName val="N. Riverside (5)"/>
      <sheetName val="N. Riverside (6)"/>
      <sheetName val="N. Riverside (7)"/>
      <sheetName val="N. Beach (3)"/>
      <sheetName val="N. Beach (4)"/>
      <sheetName val="N. Beach (5)"/>
      <sheetName val="N. Beach (6)"/>
      <sheetName val="N. Beach (7)"/>
      <sheetName val="N. Beach (8)"/>
      <sheetName val="N. Beach (9)"/>
      <sheetName val="N. Beach (10)"/>
      <sheetName val="Park Vista (2)"/>
      <sheetName val="Park Vista (3)"/>
      <sheetName val="Park Vista (4)"/>
      <sheetName val="Park Vista (5)"/>
      <sheetName val="Summary"/>
      <sheetName val="CIP"/>
      <sheetName val="CIP-cost"/>
      <sheetName val="SupD"/>
      <sheetName val="E-D"/>
      <sheetName val="MaxFee"/>
      <sheetName val="PieCharts"/>
      <sheetName val="LUVMET"/>
      <sheetName val="LUVMET (2)"/>
      <sheetName val="10-Y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ummary Table"/>
      <sheetName val="NPV"/>
      <sheetName val="Costs"/>
      <sheetName val="Safety"/>
      <sheetName val="State of Good Repair"/>
      <sheetName val="EC - Travel Time - Intersection"/>
      <sheetName val="EC - Travel Time - Roadway"/>
      <sheetName val="Segment AADTs"/>
      <sheetName val="QOL - Fuel Savings"/>
      <sheetName val="Environmental Protection"/>
      <sheetName val="Delay_Calcs"/>
      <sheetName val="Maintenance Costs"/>
      <sheetName val="Green House Gases"/>
    </sheetNames>
    <sheetDataSet>
      <sheetData sheetId="0"/>
      <sheetData sheetId="1"/>
      <sheetData sheetId="2">
        <row r="10">
          <cell r="C10">
            <v>0.5820091045650384</v>
          </cell>
        </row>
        <row r="11">
          <cell r="C11">
            <v>0.54393374258414806</v>
          </cell>
        </row>
        <row r="12">
          <cell r="C12">
            <v>0.5083492921347178</v>
          </cell>
        </row>
        <row r="13">
          <cell r="C13">
            <v>0.47509279638758667</v>
          </cell>
        </row>
        <row r="14">
          <cell r="C14">
            <v>0.44401195924073528</v>
          </cell>
        </row>
        <row r="15">
          <cell r="C15">
            <v>0.41496444788853759</v>
          </cell>
        </row>
        <row r="16">
          <cell r="C16">
            <v>0.3878172410173249</v>
          </cell>
        </row>
        <row r="17">
          <cell r="C17">
            <v>0.36244601964235967</v>
          </cell>
        </row>
        <row r="18">
          <cell r="C18">
            <v>0.33873459779659787</v>
          </cell>
        </row>
        <row r="19">
          <cell r="C19">
            <v>0.31657439046411018</v>
          </cell>
        </row>
        <row r="20">
          <cell r="C20">
            <v>0.29586391632159825</v>
          </cell>
        </row>
        <row r="21">
          <cell r="C21">
            <v>0.27650833301083949</v>
          </cell>
        </row>
        <row r="22">
          <cell r="C22">
            <v>0.2584190028138687</v>
          </cell>
        </row>
        <row r="23">
          <cell r="C23">
            <v>0.24151308674193336</v>
          </cell>
        </row>
        <row r="24">
          <cell r="C24">
            <v>0.22571316517937698</v>
          </cell>
        </row>
        <row r="25">
          <cell r="C25">
            <v>0.21094688334521211</v>
          </cell>
        </row>
        <row r="26">
          <cell r="C26">
            <v>0.19714661994879637</v>
          </cell>
        </row>
        <row r="27">
          <cell r="C27">
            <v>0.18424917752223957</v>
          </cell>
        </row>
        <row r="28">
          <cell r="C28">
            <v>0.17219549301143888</v>
          </cell>
        </row>
        <row r="29">
          <cell r="C29">
            <v>0.16093036730041013</v>
          </cell>
        </row>
        <row r="30">
          <cell r="C30">
            <v>0.15040221243028987</v>
          </cell>
        </row>
        <row r="31">
          <cell r="C31">
            <v>0.1405628153554111</v>
          </cell>
        </row>
        <row r="32">
          <cell r="C32">
            <v>0.13136711715458982</v>
          </cell>
        </row>
        <row r="33">
          <cell r="C33">
            <v>0.1227730066865325</v>
          </cell>
        </row>
        <row r="34">
          <cell r="C34">
            <v>0.11474112774442291</v>
          </cell>
        </row>
        <row r="35">
          <cell r="C35">
            <v>0.10723469882656347</v>
          </cell>
        </row>
        <row r="36">
          <cell r="C36">
            <v>0.10021934469772288</v>
          </cell>
        </row>
        <row r="37">
          <cell r="C37">
            <v>9.366293896983445E-2</v>
          </cell>
        </row>
        <row r="38">
          <cell r="C38">
            <v>8.7535456981153698E-2</v>
          </cell>
        </row>
        <row r="39">
          <cell r="C39">
            <v>8.1808838300143641E-2</v>
          </cell>
        </row>
        <row r="40">
          <cell r="C40">
            <v>7.6456858224433308E-2</v>
          </cell>
        </row>
      </sheetData>
      <sheetData sheetId="3"/>
      <sheetData sheetId="4"/>
      <sheetData sheetId="5"/>
      <sheetData sheetId="6"/>
      <sheetData sheetId="7">
        <row r="49">
          <cell r="D49">
            <v>2.7916666666666665</v>
          </cell>
        </row>
        <row r="63">
          <cell r="D63">
            <v>1.6458333333333333</v>
          </cell>
        </row>
        <row r="74">
          <cell r="D74">
            <v>59.865900383141771</v>
          </cell>
        </row>
      </sheetData>
      <sheetData sheetId="8">
        <row r="4">
          <cell r="N4">
            <v>2076.04</v>
          </cell>
          <cell r="P4">
            <v>1567.91</v>
          </cell>
          <cell r="Q4">
            <v>761.94</v>
          </cell>
        </row>
        <row r="5">
          <cell r="N5">
            <v>12212</v>
          </cell>
          <cell r="P5">
            <v>9223</v>
          </cell>
          <cell r="Q5">
            <v>4482</v>
          </cell>
        </row>
      </sheetData>
      <sheetData sheetId="9"/>
      <sheetData sheetId="10"/>
      <sheetData sheetId="11">
        <row r="5">
          <cell r="S5">
            <v>160323.70602847333</v>
          </cell>
          <cell r="T5">
            <v>19984.428807726159</v>
          </cell>
          <cell r="AL5">
            <v>95593.520288969114</v>
          </cell>
          <cell r="AM5">
            <v>14152.285882285074</v>
          </cell>
        </row>
        <row r="6">
          <cell r="S6">
            <v>165778.51065387813</v>
          </cell>
          <cell r="T6">
            <v>20392.796061904279</v>
          </cell>
          <cell r="AL6">
            <v>98143.024313599191</v>
          </cell>
          <cell r="AM6">
            <v>14423.106919419146</v>
          </cell>
        </row>
        <row r="7">
          <cell r="S7">
            <v>171522.43460407664</v>
          </cell>
          <cell r="T7">
            <v>20811.364047937204</v>
          </cell>
          <cell r="AL7">
            <v>100788.75490588867</v>
          </cell>
          <cell r="AM7">
            <v>14699.978770060099</v>
          </cell>
        </row>
        <row r="8">
          <cell r="S8">
            <v>177578.30606570805</v>
          </cell>
          <cell r="T8">
            <v>21240.465067031859</v>
          </cell>
          <cell r="AL8">
            <v>103535.91195272008</v>
          </cell>
          <cell r="AM8">
            <v>14983.070442412867</v>
          </cell>
        </row>
        <row r="9">
          <cell r="S9">
            <v>183971.41884642106</v>
          </cell>
          <cell r="T9">
            <v>21680.445635483586</v>
          </cell>
          <cell r="AL9">
            <v>106390.07523860599</v>
          </cell>
          <cell r="AM9">
            <v>15272.55702125788</v>
          </cell>
        </row>
        <row r="10">
          <cell r="S10">
            <v>190729.8745577019</v>
          </cell>
          <cell r="T10">
            <v>22131.667254056876</v>
          </cell>
          <cell r="AL10">
            <v>109357.23980669172</v>
          </cell>
          <cell r="AM10">
            <v>15568.61994346869</v>
          </cell>
        </row>
        <row r="11">
          <cell r="S11">
            <v>197884.98341169438</v>
          </cell>
          <cell r="T11">
            <v>22594.507227953356</v>
          </cell>
          <cell r="AL11">
            <v>112443.85534476896</v>
          </cell>
          <cell r="AM11">
            <v>15871.447288700239</v>
          </cell>
        </row>
        <row r="12">
          <cell r="S12">
            <v>205471.73568985885</v>
          </cell>
          <cell r="T12">
            <v>23069.359541290723</v>
          </cell>
          <cell r="AL12">
            <v>115656.87014114382</v>
          </cell>
          <cell r="AM12">
            <v>16181.234086231958</v>
          </cell>
        </row>
        <row r="13">
          <cell r="S13">
            <v>213529.35886200171</v>
          </cell>
          <cell r="T13">
            <v>23556.635790368317</v>
          </cell>
          <cell r="AL13">
            <v>119003.78024115106</v>
          </cell>
          <cell r="AM13">
            <v>16498.182639023104</v>
          </cell>
        </row>
        <row r="14">
          <cell r="S14">
            <v>222101.97907562577</v>
          </cell>
          <cell r="T14">
            <v>24056.766180382238</v>
          </cell>
          <cell r="AL14">
            <v>122492.68453662097</v>
          </cell>
          <cell r="AM14">
            <v>16822.502866118146</v>
          </cell>
        </row>
        <row r="15">
          <cell r="S15">
            <v>231239.41056223246</v>
          </cell>
          <cell r="T15">
            <v>24570.200590680863</v>
          </cell>
          <cell r="AL15">
            <v>126132.34664086682</v>
          </cell>
          <cell r="AM15">
            <v>17154.412664626132</v>
          </cell>
        </row>
        <row r="16">
          <cell r="S16">
            <v>240998.1027805648</v>
          </cell>
          <cell r="T16">
            <v>25097.409714123372</v>
          </cell>
          <cell r="AL16">
            <v>129932.26454471619</v>
          </cell>
          <cell r="AM16">
            <v>17494.138292592779</v>
          </cell>
        </row>
        <row r="17">
          <cell r="S17">
            <v>251442.28333519731</v>
          </cell>
          <cell r="T17">
            <v>25638.886276626279</v>
          </cell>
          <cell r="AL17">
            <v>133902.74921959999</v>
          </cell>
          <cell r="AM17">
            <v>17841.914774186062</v>
          </cell>
        </row>
        <row r="18">
          <cell r="S18">
            <v>262645.34556634905</v>
          </cell>
          <cell r="T18">
            <v>26195.146343560442</v>
          </cell>
          <cell r="AL18">
            <v>138055.0135377777</v>
          </cell>
          <cell r="AM18">
            <v>18197.986328727835</v>
          </cell>
        </row>
        <row r="19">
          <cell r="S19">
            <v>274691.54417973495</v>
          </cell>
          <cell r="T19">
            <v>26766.730720301464</v>
          </cell>
          <cell r="AL19">
            <v>142401.27312490955</v>
          </cell>
          <cell r="AM19">
            <v>18562.606825225394</v>
          </cell>
        </row>
        <row r="20">
          <cell r="S20">
            <v>287678.08176279441</v>
          </cell>
          <cell r="T20">
            <v>27354.206454946565</v>
          </cell>
          <cell r="AL20">
            <v>146954.86105579819</v>
          </cell>
          <cell r="AM20">
            <v>18936.040264189305</v>
          </cell>
        </row>
        <row r="21">
          <cell r="S21">
            <v>301717.69551537116</v>
          </cell>
          <cell r="T21">
            <v>27958.168451999936</v>
          </cell>
          <cell r="AL21">
            <v>151730.35866201235</v>
          </cell>
          <cell r="AM21">
            <v>19318.561288668297</v>
          </cell>
        </row>
        <row r="22">
          <cell r="S22">
            <v>316941.88992394501</v>
          </cell>
          <cell r="T22">
            <v>28579.241206706291</v>
          </cell>
          <cell r="AL22">
            <v>156743.74515522699</v>
          </cell>
          <cell r="AM22">
            <v>19710.45572658964</v>
          </cell>
        </row>
        <row r="23">
          <cell r="S23">
            <v>333505.01173644676</v>
          </cell>
          <cell r="T23">
            <v>29218.080670688942</v>
          </cell>
          <cell r="AL23">
            <v>162012.56930141273</v>
          </cell>
          <cell r="AM23">
            <v>20112.021166665894</v>
          </cell>
        </row>
        <row r="24">
          <cell r="S24">
            <v>351589.43490820518</v>
          </cell>
          <cell r="T24">
            <v>29875.376260638677</v>
          </cell>
          <cell r="AL24">
            <v>167556.1470327267</v>
          </cell>
          <cell r="AM24">
            <v>20523.567570317464</v>
          </cell>
        </row>
        <row r="25">
          <cell r="S25">
            <v>371412.22502611211</v>
          </cell>
          <cell r="T25">
            <v>30551.85302301581</v>
          </cell>
          <cell r="AL25">
            <v>173395.78968717577</v>
          </cell>
          <cell r="AM25">
            <v>20945.417922266621</v>
          </cell>
        </row>
        <row r="26">
          <cell r="S26">
            <v>393233.80031823146</v>
          </cell>
          <cell r="T26">
            <v>31248.273969087662</v>
          </cell>
          <cell r="AL26">
            <v>179555.06856104702</v>
          </cell>
          <cell r="AM26">
            <v>21377.908922685034</v>
          </cell>
        </row>
        <row r="27">
          <cell r="S27">
            <v>417369.32377112075</v>
          </cell>
          <cell r="T27">
            <v>31965.442596146782</v>
          </cell>
          <cell r="AL27">
            <v>186060.12269790773</v>
          </cell>
          <cell r="AM27">
            <v>21821.391724024812</v>
          </cell>
        </row>
        <row r="28">
          <cell r="S28">
            <v>444203.88683411194</v>
          </cell>
          <cell r="T28">
            <v>32704.20561246161</v>
          </cell>
          <cell r="AL28">
            <v>192940.0183890019</v>
          </cell>
          <cell r="AM28">
            <v>22276.232715935479</v>
          </cell>
        </row>
        <row r="29">
          <cell r="S29">
            <v>460717.41974602028</v>
          </cell>
          <cell r="T29">
            <v>33131.071316715097</v>
          </cell>
          <cell r="AL29">
            <v>197000.97440380705</v>
          </cell>
          <cell r="AM29">
            <v>22538.127192080985</v>
          </cell>
        </row>
        <row r="30">
          <cell r="S30">
            <v>478341.41889546724</v>
          </cell>
          <cell r="T30">
            <v>33565.26811170506</v>
          </cell>
          <cell r="AL30">
            <v>201197.96886295971</v>
          </cell>
          <cell r="AM30">
            <v>22803.833142551852</v>
          </cell>
        </row>
        <row r="31">
          <cell r="S31">
            <v>497191.00987839274</v>
          </cell>
          <cell r="T31">
            <v>34006.968609144162</v>
          </cell>
          <cell r="AL31">
            <v>205537.77680268756</v>
          </cell>
          <cell r="AM31">
            <v>23073.423482196697</v>
          </cell>
        </row>
        <row r="32">
          <cell r="S32">
            <v>517397.8011760537</v>
          </cell>
          <cell r="T32">
            <v>34456.35082585163</v>
          </cell>
          <cell r="AL32">
            <v>210027.63044470959</v>
          </cell>
          <cell r="AM32">
            <v>23346.972957012869</v>
          </cell>
        </row>
        <row r="33">
          <cell r="S33">
            <v>539112.94356563583</v>
          </cell>
          <cell r="T33">
            <v>34913.598397237445</v>
          </cell>
          <cell r="AL33">
            <v>214675.25842654952</v>
          </cell>
          <cell r="AM33">
            <v>23624.558202075354</v>
          </cell>
        </row>
        <row r="34">
          <cell r="S34">
            <v>562510.89723615337</v>
          </cell>
          <cell r="T34">
            <v>35378.900800989053</v>
          </cell>
          <cell r="AL34">
            <v>219488.92914195324</v>
          </cell>
          <cell r="AM34">
            <v>23906.257801681269</v>
          </cell>
        </row>
        <row r="35">
          <cell r="S35">
            <v>587794.10525971837</v>
          </cell>
          <cell r="T35">
            <v>35852.453591534453</v>
          </cell>
          <cell r="AL35">
            <v>224477.49870271626</v>
          </cell>
          <cell r="AM35">
            <v>24192.152351809378</v>
          </cell>
        </row>
        <row r="36">
          <cell r="S36">
            <v>615198.83845646516</v>
          </cell>
          <cell r="T36">
            <v>36334.458645891849</v>
          </cell>
          <cell r="AL36">
            <v>229650.4641072356</v>
          </cell>
          <cell r="AM36">
            <v>24482.324524999316</v>
          </cell>
        </row>
        <row r="37">
          <cell r="S37">
            <v>645002.56912775442</v>
          </cell>
          <cell r="T37">
            <v>36825.124421556495</v>
          </cell>
          <cell r="AL37">
            <v>235018.02228738583</v>
          </cell>
          <cell r="AM37">
            <v>24776.859137760574</v>
          </cell>
        </row>
        <row r="38">
          <cell r="S38">
            <v>677533.36149044277</v>
          </cell>
          <cell r="T38">
            <v>37324.666227117996</v>
          </cell>
          <cell r="AL38">
            <v>240591.13580617853</v>
          </cell>
          <cell r="AM38">
            <v>25075.843220627143</v>
          </cell>
        </row>
        <row r="39">
          <cell r="S39">
            <v>713181.95303626859</v>
          </cell>
          <cell r="T39">
            <v>37833.306506347093</v>
          </cell>
          <cell r="AL39">
            <v>246381.60609689439</v>
          </cell>
          <cell r="AM39">
            <v>25379.366090979624</v>
          </cell>
        </row>
        <row r="40">
          <cell r="S40">
            <v>752417.47156861902</v>
          </cell>
          <cell r="T40">
            <v>38351.275136540833</v>
          </cell>
          <cell r="AL40">
            <v>252402.1552733572</v>
          </cell>
          <cell r="AM40">
            <v>25687.519428763346</v>
          </cell>
        </row>
        <row r="41">
          <cell r="S41">
            <v>795808.13176151575</v>
          </cell>
          <cell r="T41">
            <v>38878.809741968042</v>
          </cell>
          <cell r="AL41">
            <v>258666.51770488638</v>
          </cell>
          <cell r="AM41">
            <v>26000.397355237721</v>
          </cell>
        </row>
        <row r="42">
          <cell r="S42">
            <v>844048.8544142443</v>
          </cell>
          <cell r="T42">
            <v>39416.156023314099</v>
          </cell>
          <cell r="AL42">
            <v>265189.5427432615</v>
          </cell>
          <cell r="AM42">
            <v>26318.096514899247</v>
          </cell>
        </row>
        <row r="43">
          <cell r="S43">
            <v>897998.66935640376</v>
          </cell>
          <cell r="T43">
            <v>39963.568104086422</v>
          </cell>
          <cell r="AL43">
            <v>271987.31021896872</v>
          </cell>
          <cell r="AM43">
            <v>26640.716160728596</v>
          </cell>
        </row>
        <row r="54">
          <cell r="U54">
            <v>677.24071130925893</v>
          </cell>
          <cell r="V54">
            <v>131.40233732208333</v>
          </cell>
        </row>
        <row r="55">
          <cell r="U55">
            <v>689.11549070168428</v>
          </cell>
          <cell r="V55">
            <v>133.5829256982868</v>
          </cell>
        </row>
        <row r="56">
          <cell r="U56">
            <v>701.2170477074601</v>
          </cell>
          <cell r="V56">
            <v>135.80101958600409</v>
          </cell>
        </row>
        <row r="57">
          <cell r="U57">
            <v>713.55037247128757</v>
          </cell>
          <cell r="V57">
            <v>138.0573082827506</v>
          </cell>
        </row>
        <row r="58">
          <cell r="U58">
            <v>726.1205885951432</v>
          </cell>
          <cell r="V58">
            <v>140.35249523979553</v>
          </cell>
        </row>
        <row r="59">
          <cell r="U59">
            <v>738.93295756014345</v>
          </cell>
          <cell r="V59">
            <v>142.68729840232723</v>
          </cell>
        </row>
        <row r="60">
          <cell r="U60">
            <v>751.99288332650826</v>
          </cell>
          <cell r="V60">
            <v>145.06245055941582</v>
          </cell>
        </row>
        <row r="61">
          <cell r="U61">
            <v>765.30591712008425</v>
          </cell>
          <cell r="V61">
            <v>147.47869970410949</v>
          </cell>
        </row>
        <row r="62">
          <cell r="U62">
            <v>778.87776241434005</v>
          </cell>
          <cell r="V62">
            <v>149.9368094040108</v>
          </cell>
        </row>
        <row r="63">
          <cell r="U63">
            <v>792.71428011724845</v>
          </cell>
          <cell r="V63">
            <v>152.43755918269662</v>
          </cell>
        </row>
        <row r="64">
          <cell r="U64">
            <v>806.82149397298224</v>
          </cell>
          <cell r="V64">
            <v>154.98174491235733</v>
          </cell>
        </row>
        <row r="65">
          <cell r="U65">
            <v>821.20559618890809</v>
          </cell>
          <cell r="V65">
            <v>157.57017921804646</v>
          </cell>
        </row>
        <row r="66">
          <cell r="U66">
            <v>835.87295329895267</v>
          </cell>
          <cell r="V66">
            <v>160.20369189394901</v>
          </cell>
        </row>
        <row r="67">
          <cell r="U67">
            <v>850.83011227503926</v>
          </cell>
          <cell r="V67">
            <v>162.88313033209135</v>
          </cell>
        </row>
        <row r="68">
          <cell r="U68">
            <v>866.0838068989608</v>
          </cell>
          <cell r="V68">
            <v>165.60935996393459</v>
          </cell>
        </row>
        <row r="69">
          <cell r="U69">
            <v>881.64096440776609</v>
          </cell>
          <cell r="V69">
            <v>168.38326471530971</v>
          </cell>
        </row>
        <row r="70">
          <cell r="U70">
            <v>897.5087124264885</v>
          </cell>
          <cell r="V70">
            <v>171.20574747517284</v>
          </cell>
        </row>
        <row r="71">
          <cell r="U71">
            <v>913.69438620285314</v>
          </cell>
          <cell r="V71">
            <v>174.07773057867925</v>
          </cell>
        </row>
        <row r="72">
          <cell r="U72">
            <v>930.20553615945846</v>
          </cell>
          <cell r="V72">
            <v>177.0001563050929</v>
          </cell>
        </row>
        <row r="73">
          <cell r="U73">
            <v>947.04993577984078</v>
          </cell>
          <cell r="V73">
            <v>179.97398739107308</v>
          </cell>
        </row>
        <row r="74">
          <cell r="U74">
            <v>964.23558984580689</v>
          </cell>
          <cell r="V74">
            <v>183.00020755990079</v>
          </cell>
        </row>
        <row r="75">
          <cell r="U75">
            <v>981.77074304446376</v>
          </cell>
          <cell r="V75">
            <v>186.07982206723057</v>
          </cell>
        </row>
        <row r="76">
          <cell r="U76">
            <v>999.66388896448723</v>
          </cell>
          <cell r="V76">
            <v>189.21385826398065</v>
          </cell>
        </row>
        <row r="77">
          <cell r="U77">
            <v>1017.9237795023597</v>
          </cell>
          <cell r="V77">
            <v>192.40336617699805</v>
          </cell>
        </row>
        <row r="78">
          <cell r="U78">
            <v>1028.3959300066463</v>
          </cell>
          <cell r="V78">
            <v>194.22858631664786</v>
          </cell>
        </row>
        <row r="79">
          <cell r="U79">
            <v>1038.9894572984595</v>
          </cell>
          <cell r="V79">
            <v>196.07201796219826</v>
          </cell>
        </row>
        <row r="80">
          <cell r="U80">
            <v>1049.7060512349772</v>
          </cell>
          <cell r="V80">
            <v>197.93385993705499</v>
          </cell>
        </row>
        <row r="81">
          <cell r="U81">
            <v>1060.5474311701105</v>
          </cell>
          <cell r="V81">
            <v>199.81431356305757</v>
          </cell>
        </row>
        <row r="82">
          <cell r="U82">
            <v>1071.5153465979611</v>
          </cell>
          <cell r="V82">
            <v>201.71358269810878</v>
          </cell>
        </row>
        <row r="83">
          <cell r="U83">
            <v>1082.6115778132726</v>
          </cell>
          <cell r="V83">
            <v>203.63187377448756</v>
          </cell>
        </row>
        <row r="84">
          <cell r="U84">
            <v>1093.8379365894043</v>
          </cell>
          <cell r="V84">
            <v>205.56939583786109</v>
          </cell>
        </row>
        <row r="85">
          <cell r="U85">
            <v>1105.1962668743715</v>
          </cell>
          <cell r="V85">
            <v>207.52636058701057</v>
          </cell>
        </row>
        <row r="86">
          <cell r="U86">
            <v>1116.6884455055192</v>
          </cell>
          <cell r="V86">
            <v>209.50298241428601</v>
          </cell>
        </row>
        <row r="87">
          <cell r="U87">
            <v>1128.3163829434102</v>
          </cell>
          <cell r="V87">
            <v>211.49947844680622</v>
          </cell>
        </row>
        <row r="88">
          <cell r="U88">
            <v>1140.08202402554</v>
          </cell>
          <cell r="V88">
            <v>213.51606858841987</v>
          </cell>
        </row>
        <row r="89">
          <cell r="U89">
            <v>1151.9873487405032</v>
          </cell>
          <cell r="V89">
            <v>215.55297556244449</v>
          </cell>
        </row>
        <row r="90">
          <cell r="U90">
            <v>1164.0343730232601</v>
          </cell>
          <cell r="V90">
            <v>217.6104249551999</v>
          </cell>
        </row>
        <row r="91">
          <cell r="U91">
            <v>1176.2251495721855</v>
          </cell>
          <cell r="V91">
            <v>219.68864526035426</v>
          </cell>
        </row>
        <row r="92">
          <cell r="U92">
            <v>1188.5617686885917</v>
          </cell>
          <cell r="V92">
            <v>221.78786792410025</v>
          </cell>
        </row>
      </sheetData>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hyperlink" Target="https://nepis.epa.gov/Exe/tiff2png.cgi/P100EVY9.PNG?-r+75+-g+7+D%3A%5CZYFILES%5CINDEX%20DATA%5C06THRU10%5CTIFF%5C00001432%5CP100EVY9.TI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E9A97-5906-4BED-8A47-D2FE982E45DA}">
  <sheetPr>
    <tabColor rgb="FFFFFFCC"/>
  </sheetPr>
  <dimension ref="A1:C14"/>
  <sheetViews>
    <sheetView zoomScale="80" zoomScaleNormal="80" workbookViewId="0">
      <selection activeCell="B13" sqref="B13"/>
    </sheetView>
  </sheetViews>
  <sheetFormatPr defaultColWidth="8.85546875" defaultRowHeight="12.75"/>
  <cols>
    <col min="1" max="1" width="21.7109375" style="1" customWidth="1"/>
    <col min="2" max="2" width="44.140625" style="1" customWidth="1"/>
    <col min="3" max="3" width="100.85546875" style="1" customWidth="1"/>
    <col min="4" max="16384" width="8.85546875" style="1"/>
  </cols>
  <sheetData>
    <row r="1" spans="1:3" ht="18">
      <c r="A1" s="433" t="s">
        <v>0</v>
      </c>
    </row>
    <row r="2" spans="1:3" ht="15.75">
      <c r="A2" s="434" t="s">
        <v>1</v>
      </c>
    </row>
    <row r="3" spans="1:3" ht="15.75">
      <c r="A3" s="434"/>
    </row>
    <row r="4" spans="1:3" ht="15.75">
      <c r="A4" s="445"/>
      <c r="B4" s="443" t="s">
        <v>2</v>
      </c>
    </row>
    <row r="5" spans="1:3">
      <c r="A5" s="435"/>
    </row>
    <row r="6" spans="1:3" ht="15">
      <c r="A6" s="436" t="s">
        <v>3</v>
      </c>
      <c r="B6" s="437" t="s">
        <v>4</v>
      </c>
      <c r="C6" s="437" t="s">
        <v>5</v>
      </c>
    </row>
    <row r="7" spans="1:3" ht="25.5">
      <c r="A7" s="438" t="s">
        <v>6</v>
      </c>
      <c r="B7" s="439" t="s">
        <v>7</v>
      </c>
      <c r="C7" s="439" t="s">
        <v>8</v>
      </c>
    </row>
    <row r="8" spans="1:3" ht="25.5">
      <c r="A8" s="438" t="s">
        <v>9</v>
      </c>
      <c r="B8" s="439" t="s">
        <v>10</v>
      </c>
      <c r="C8" s="439" t="s">
        <v>11</v>
      </c>
    </row>
    <row r="9" spans="1:3" ht="38.25">
      <c r="A9" s="438" t="s">
        <v>12</v>
      </c>
      <c r="B9" s="439" t="s">
        <v>13</v>
      </c>
      <c r="C9" s="440" t="s">
        <v>14</v>
      </c>
    </row>
    <row r="10" spans="1:3" ht="63.75">
      <c r="A10" s="438" t="s">
        <v>15</v>
      </c>
      <c r="B10" s="439" t="s">
        <v>16</v>
      </c>
      <c r="C10" s="439" t="s">
        <v>17</v>
      </c>
    </row>
    <row r="11" spans="1:3" ht="26.45" customHeight="1">
      <c r="A11" s="442" t="s">
        <v>18</v>
      </c>
      <c r="B11" s="587" t="s">
        <v>19</v>
      </c>
      <c r="C11" s="588"/>
    </row>
    <row r="12" spans="1:3" s="9" customFormat="1" ht="204">
      <c r="A12" s="465" t="s">
        <v>20</v>
      </c>
      <c r="B12" s="527" t="s">
        <v>21</v>
      </c>
      <c r="C12" s="527" t="s">
        <v>22</v>
      </c>
    </row>
    <row r="13" spans="1:3" s="9" customFormat="1">
      <c r="A13" s="465" t="s">
        <v>23</v>
      </c>
      <c r="B13" s="482"/>
      <c r="C13" s="482"/>
    </row>
    <row r="14" spans="1:3" ht="47.45" customHeight="1">
      <c r="A14" s="441" t="s">
        <v>24</v>
      </c>
      <c r="B14" s="585" t="s">
        <v>25</v>
      </c>
      <c r="C14" s="586"/>
    </row>
  </sheetData>
  <mergeCells count="2">
    <mergeCell ref="B14:C14"/>
    <mergeCell ref="B11:C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86E76-04A5-4FB2-B760-969711466459}">
  <sheetPr>
    <tabColor theme="6"/>
    <pageSetUpPr fitToPage="1"/>
  </sheetPr>
  <dimension ref="A1:AO189"/>
  <sheetViews>
    <sheetView topLeftCell="A98" zoomScale="110" zoomScaleNormal="110" workbookViewId="0">
      <selection activeCell="J66" sqref="J66"/>
    </sheetView>
  </sheetViews>
  <sheetFormatPr defaultColWidth="8.85546875" defaultRowHeight="12.75"/>
  <cols>
    <col min="1" max="1" width="34.85546875" style="39" customWidth="1"/>
    <col min="2" max="2" width="14" style="39" customWidth="1"/>
    <col min="3" max="3" width="11.5703125" style="39" bestFit="1" customWidth="1"/>
    <col min="4" max="4" width="14" style="39" customWidth="1"/>
    <col min="5" max="5" width="18.140625" style="39" bestFit="1" customWidth="1"/>
    <col min="6" max="6" width="13.7109375" style="39" customWidth="1"/>
    <col min="7" max="7" width="16.5703125" style="39" customWidth="1"/>
    <col min="8" max="8" width="15.42578125" style="39" bestFit="1" customWidth="1"/>
    <col min="9" max="9" width="14.140625" style="39" customWidth="1"/>
    <col min="10" max="10" width="14.42578125" style="39" customWidth="1"/>
    <col min="11" max="11" width="13.5703125" style="39" customWidth="1"/>
    <col min="12" max="12" width="19.28515625" style="39" customWidth="1"/>
    <col min="13" max="13" width="18.5703125" style="41" customWidth="1"/>
    <col min="14" max="14" width="14.140625" style="39" customWidth="1"/>
    <col min="15" max="15" width="13" style="39" customWidth="1"/>
    <col min="16" max="16" width="14.42578125" style="39" customWidth="1"/>
    <col min="17" max="17" width="13.7109375" style="39" customWidth="1"/>
    <col min="18" max="18" width="14.140625" style="39" customWidth="1"/>
    <col min="19" max="19" width="21.7109375" style="39" bestFit="1" customWidth="1"/>
    <col min="20" max="21" width="11.140625" style="39" customWidth="1"/>
    <col min="22" max="23" width="11.7109375" style="39" customWidth="1"/>
    <col min="24" max="25" width="18.140625" style="39" bestFit="1" customWidth="1"/>
    <col min="26" max="26" width="12.42578125" style="39" customWidth="1"/>
    <col min="27" max="27" width="10.7109375" style="39" customWidth="1"/>
    <col min="28" max="28" width="16.140625" style="39" customWidth="1"/>
    <col min="29" max="31" width="15.7109375" style="39" customWidth="1"/>
    <col min="32" max="16384" width="8.85546875" style="39"/>
  </cols>
  <sheetData>
    <row r="1" spans="1:41" ht="18" customHeight="1">
      <c r="A1" s="748" t="s">
        <v>260</v>
      </c>
      <c r="B1" s="748"/>
      <c r="C1" s="748"/>
      <c r="D1" s="748"/>
      <c r="E1" s="748"/>
      <c r="F1" s="748"/>
      <c r="G1" s="748"/>
      <c r="H1" s="311"/>
      <c r="I1" s="311"/>
      <c r="J1" s="311"/>
      <c r="K1" s="311"/>
      <c r="L1" s="311"/>
      <c r="M1" s="326"/>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row>
    <row r="2" spans="1:41" ht="18" customHeight="1">
      <c r="A2" s="748" t="s">
        <v>261</v>
      </c>
      <c r="B2" s="748"/>
      <c r="C2" s="748" t="s">
        <v>57</v>
      </c>
      <c r="D2" s="748"/>
      <c r="E2" s="748" t="s">
        <v>58</v>
      </c>
      <c r="F2" s="748"/>
      <c r="G2" s="576" t="s">
        <v>51</v>
      </c>
      <c r="H2" s="311"/>
      <c r="I2" s="311"/>
      <c r="J2" s="311"/>
      <c r="K2" s="326"/>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row>
    <row r="3" spans="1:41" ht="18" customHeight="1">
      <c r="A3" s="749" t="s">
        <v>262</v>
      </c>
      <c r="B3" s="749"/>
      <c r="C3" s="750">
        <f>H41</f>
        <v>90403933.312939435</v>
      </c>
      <c r="D3" s="750"/>
      <c r="E3" s="750">
        <f>H77</f>
        <v>55866392.790468715</v>
      </c>
      <c r="F3" s="750"/>
      <c r="G3" s="577">
        <f>C3+E3</f>
        <v>146270326.10340816</v>
      </c>
      <c r="H3" s="311"/>
      <c r="I3" s="311"/>
      <c r="J3" s="311"/>
      <c r="K3" s="326"/>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row>
    <row r="4" spans="1:41" ht="15.75">
      <c r="A4" s="749" t="s">
        <v>263</v>
      </c>
      <c r="B4" s="749"/>
      <c r="C4" s="750">
        <f>I41</f>
        <v>41550825.418935902</v>
      </c>
      <c r="D4" s="750"/>
      <c r="E4" s="750">
        <f>I77</f>
        <v>25662484.64872583</v>
      </c>
      <c r="F4" s="750"/>
      <c r="G4" s="577">
        <f>C4+E4</f>
        <v>67213310.067661732</v>
      </c>
      <c r="H4" s="311"/>
      <c r="I4" s="311"/>
      <c r="J4" s="311"/>
      <c r="K4" s="311"/>
      <c r="L4" s="311"/>
      <c r="M4" s="326"/>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row>
    <row r="5" spans="1:41">
      <c r="A5" s="311"/>
      <c r="B5" s="311"/>
      <c r="C5" s="311"/>
      <c r="D5" s="311"/>
      <c r="E5" s="311"/>
      <c r="F5" s="311"/>
      <c r="G5" s="394"/>
      <c r="H5" s="311"/>
      <c r="I5" s="311"/>
      <c r="J5" s="311"/>
      <c r="K5" s="311"/>
      <c r="L5" s="311"/>
      <c r="M5" s="326"/>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row>
    <row r="6" spans="1:41" ht="18">
      <c r="A6" s="330" t="s">
        <v>57</v>
      </c>
      <c r="B6" s="311"/>
      <c r="C6" s="33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row>
    <row r="7" spans="1:41">
      <c r="A7" s="326"/>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row>
    <row r="8" spans="1:41" ht="13.35" customHeight="1">
      <c r="A8" s="739" t="s">
        <v>76</v>
      </c>
      <c r="B8" s="746" t="s">
        <v>105</v>
      </c>
      <c r="C8" s="747"/>
      <c r="D8" s="746" t="s">
        <v>106</v>
      </c>
      <c r="E8" s="747"/>
      <c r="F8" s="742" t="s">
        <v>109</v>
      </c>
      <c r="G8" s="743"/>
      <c r="H8" s="734" t="s">
        <v>110</v>
      </c>
      <c r="I8" s="734" t="s">
        <v>264</v>
      </c>
      <c r="J8" s="311"/>
      <c r="K8" s="311"/>
      <c r="L8" s="311"/>
      <c r="M8" s="311"/>
      <c r="N8" s="311"/>
      <c r="O8" s="311"/>
      <c r="P8" s="311"/>
      <c r="Q8" s="311"/>
      <c r="R8" s="311"/>
      <c r="S8" s="311"/>
      <c r="T8" s="311"/>
      <c r="U8" s="311"/>
      <c r="V8" s="311"/>
      <c r="W8" s="311"/>
      <c r="X8" s="311"/>
      <c r="Y8" s="311"/>
      <c r="Z8" s="311"/>
      <c r="AA8" s="311"/>
      <c r="AB8" s="311"/>
      <c r="AC8" s="311"/>
      <c r="AD8" s="311"/>
      <c r="AE8" s="311"/>
    </row>
    <row r="9" spans="1:41" ht="26.45" customHeight="1">
      <c r="A9" s="740"/>
      <c r="B9" s="723" t="s">
        <v>265</v>
      </c>
      <c r="C9" s="725"/>
      <c r="D9" s="723" t="s">
        <v>265</v>
      </c>
      <c r="E9" s="725"/>
      <c r="F9" s="744"/>
      <c r="G9" s="745"/>
      <c r="H9" s="735"/>
      <c r="I9" s="735"/>
      <c r="J9" s="311"/>
      <c r="K9" s="311"/>
      <c r="L9" s="311"/>
      <c r="M9" s="311"/>
      <c r="N9" s="722"/>
      <c r="O9" s="722"/>
      <c r="P9" s="722"/>
      <c r="Q9" s="311"/>
      <c r="R9" s="311"/>
      <c r="S9" s="311"/>
      <c r="T9" s="311"/>
      <c r="U9" s="311"/>
      <c r="V9" s="311"/>
      <c r="W9" s="311"/>
      <c r="X9" s="311"/>
      <c r="Y9" s="311"/>
      <c r="Z9" s="311"/>
      <c r="AA9" s="311"/>
      <c r="AB9" s="311"/>
      <c r="AC9" s="311"/>
      <c r="AD9" s="311"/>
      <c r="AE9" s="311"/>
    </row>
    <row r="10" spans="1:41" ht="40.5" customHeight="1" thickBot="1">
      <c r="A10" s="741"/>
      <c r="B10" s="43" t="s">
        <v>170</v>
      </c>
      <c r="C10" s="43" t="s">
        <v>114</v>
      </c>
      <c r="D10" s="43" t="s">
        <v>170</v>
      </c>
      <c r="E10" s="43" t="s">
        <v>114</v>
      </c>
      <c r="F10" s="43" t="s">
        <v>170</v>
      </c>
      <c r="G10" s="579" t="s">
        <v>114</v>
      </c>
      <c r="H10" s="736"/>
      <c r="I10" s="736"/>
      <c r="J10" s="311"/>
      <c r="K10" s="311"/>
      <c r="L10" s="311"/>
      <c r="M10" s="311"/>
      <c r="N10" s="311"/>
      <c r="O10" s="311"/>
      <c r="P10" s="311"/>
      <c r="Q10" s="311"/>
      <c r="R10" s="311"/>
      <c r="S10" s="311"/>
      <c r="T10" s="311"/>
      <c r="U10" s="311"/>
      <c r="V10" s="311"/>
      <c r="W10" s="311"/>
      <c r="X10" s="311"/>
      <c r="Y10" s="311"/>
      <c r="Z10" s="311"/>
      <c r="AA10" s="311"/>
      <c r="AB10" s="311"/>
      <c r="AC10" s="311"/>
      <c r="AD10" s="311"/>
      <c r="AE10" s="311"/>
    </row>
    <row r="11" spans="1:41" ht="13.5" thickTop="1">
      <c r="A11" s="44">
        <v>2034</v>
      </c>
      <c r="B11" s="45">
        <f>O82</f>
        <v>6746827.27262838</v>
      </c>
      <c r="C11" s="46">
        <f>N82</f>
        <v>1190616.5775226553</v>
      </c>
      <c r="D11" s="45">
        <f>S82</f>
        <v>6688846.850788109</v>
      </c>
      <c r="E11" s="46">
        <f>R82</f>
        <v>1180384.7383743722</v>
      </c>
      <c r="F11" s="45">
        <f t="shared" ref="F11:F40" si="0">B11-D11</f>
        <v>57980.421840270981</v>
      </c>
      <c r="G11" s="48">
        <f t="shared" ref="G11:G40" si="1">C11-E11</f>
        <v>10231.839148283005</v>
      </c>
      <c r="H11" s="49">
        <f t="shared" ref="H11:H40" si="2">(F11*$A$142*$L$11)+(G11*$A$141)</f>
        <v>2408332.7819793317</v>
      </c>
      <c r="I11" s="375">
        <f>H11*NPV!C14</f>
        <v>1721357.908459933</v>
      </c>
      <c r="J11" s="311"/>
      <c r="K11" s="483" t="s">
        <v>266</v>
      </c>
      <c r="L11" s="483">
        <v>1.67</v>
      </c>
      <c r="M11" s="311"/>
      <c r="N11" s="473"/>
      <c r="O11" s="477"/>
      <c r="P11" s="477"/>
      <c r="Q11" s="479"/>
      <c r="R11" s="311"/>
      <c r="S11" s="311"/>
      <c r="T11" s="311"/>
      <c r="U11" s="311"/>
      <c r="V11" s="311"/>
      <c r="W11" s="311"/>
      <c r="X11" s="311"/>
      <c r="Y11" s="311"/>
      <c r="Z11" s="311"/>
      <c r="AA11" s="311"/>
      <c r="AB11" s="311"/>
      <c r="AC11" s="311"/>
      <c r="AD11" s="311"/>
      <c r="AE11" s="311"/>
    </row>
    <row r="12" spans="1:41">
      <c r="A12" s="47">
        <f t="shared" ref="A12:A34" si="3">A11+1</f>
        <v>2035</v>
      </c>
      <c r="B12" s="45">
        <f t="shared" ref="B12:B40" si="4">O83</f>
        <v>6849570.8351557143</v>
      </c>
      <c r="C12" s="46">
        <f t="shared" ref="C12:C40" si="5">N83</f>
        <v>1208747.7944392439</v>
      </c>
      <c r="D12" s="45">
        <f t="shared" ref="D12:D40" si="6">S83</f>
        <v>6790707.4627290452</v>
      </c>
      <c r="E12" s="46">
        <f t="shared" ref="E12:E40" si="7">R83</f>
        <v>1198360.1404815961</v>
      </c>
      <c r="F12" s="45">
        <f t="shared" si="0"/>
        <v>58863.372426669113</v>
      </c>
      <c r="G12" s="48">
        <f t="shared" si="1"/>
        <v>10387.653957647737</v>
      </c>
      <c r="H12" s="49">
        <f t="shared" si="2"/>
        <v>2445007.9004865638</v>
      </c>
      <c r="I12" s="375">
        <f>H12*NPV!C15</f>
        <v>1695025.6844519249</v>
      </c>
      <c r="J12" s="311"/>
      <c r="K12" s="311"/>
      <c r="L12" s="311"/>
      <c r="M12" s="311"/>
      <c r="N12" s="473"/>
      <c r="O12" s="477"/>
      <c r="P12" s="477"/>
      <c r="Q12" s="479"/>
      <c r="R12" s="311"/>
      <c r="S12" s="311"/>
      <c r="T12" s="311"/>
      <c r="U12" s="311"/>
      <c r="V12" s="311"/>
      <c r="W12" s="311"/>
      <c r="X12" s="311"/>
      <c r="Y12" s="311"/>
      <c r="Z12" s="311"/>
      <c r="AA12" s="311"/>
      <c r="AB12" s="311"/>
      <c r="AC12" s="311"/>
      <c r="AD12" s="311"/>
      <c r="AE12" s="311"/>
    </row>
    <row r="13" spans="1:41">
      <c r="A13" s="47">
        <f t="shared" si="3"/>
        <v>2036</v>
      </c>
      <c r="B13" s="45">
        <f t="shared" si="4"/>
        <v>6953879.0204626545</v>
      </c>
      <c r="C13" s="46">
        <f t="shared" si="5"/>
        <v>1227155.1212581156</v>
      </c>
      <c r="D13" s="45">
        <f t="shared" si="6"/>
        <v>6894119.2515015677</v>
      </c>
      <c r="E13" s="46">
        <f t="shared" si="7"/>
        <v>1216609.2796767473</v>
      </c>
      <c r="F13" s="45">
        <f t="shared" si="0"/>
        <v>59759.768961086869</v>
      </c>
      <c r="G13" s="48">
        <f t="shared" si="1"/>
        <v>10545.841581368353</v>
      </c>
      <c r="H13" s="49">
        <f t="shared" si="2"/>
        <v>2482241.5233366685</v>
      </c>
      <c r="I13" s="375">
        <f>H13*NPV!C16</f>
        <v>1669096.2738378912</v>
      </c>
      <c r="J13" s="311"/>
      <c r="K13" s="311"/>
      <c r="L13" s="311"/>
      <c r="M13" s="311"/>
      <c r="N13" s="473"/>
      <c r="O13" s="477"/>
      <c r="P13" s="477"/>
      <c r="Q13" s="479"/>
      <c r="R13" s="311"/>
      <c r="S13" s="311"/>
      <c r="T13" s="311"/>
      <c r="U13" s="311"/>
      <c r="V13" s="311"/>
      <c r="W13" s="311"/>
      <c r="X13" s="311"/>
      <c r="Y13" s="311"/>
      <c r="Z13" s="311"/>
      <c r="AA13" s="311"/>
      <c r="AB13" s="311"/>
      <c r="AC13" s="311"/>
      <c r="AD13" s="311"/>
      <c r="AE13" s="311"/>
    </row>
    <row r="14" spans="1:41">
      <c r="A14" s="47">
        <f t="shared" si="3"/>
        <v>2037</v>
      </c>
      <c r="B14" s="45">
        <f t="shared" si="4"/>
        <v>7059775.6552920351</v>
      </c>
      <c r="C14" s="46">
        <f t="shared" si="5"/>
        <v>1245842.7626985945</v>
      </c>
      <c r="D14" s="45">
        <f t="shared" si="6"/>
        <v>6999105.8390878867</v>
      </c>
      <c r="E14" s="46">
        <f t="shared" si="7"/>
        <v>1235136.3245449211</v>
      </c>
      <c r="F14" s="45">
        <f t="shared" si="0"/>
        <v>60669.816204148345</v>
      </c>
      <c r="G14" s="48">
        <f t="shared" si="1"/>
        <v>10706.438153673429</v>
      </c>
      <c r="H14" s="49">
        <f t="shared" si="2"/>
        <v>2520042.1556717167</v>
      </c>
      <c r="I14" s="375">
        <f>H14*NPV!C17</f>
        <v>1643563.514637972</v>
      </c>
      <c r="J14" s="311"/>
      <c r="K14" s="311"/>
      <c r="L14" s="311"/>
      <c r="M14" s="311"/>
      <c r="N14" s="473"/>
      <c r="O14" s="477"/>
      <c r="P14" s="477"/>
      <c r="Q14" s="479"/>
      <c r="R14" s="311"/>
      <c r="S14" s="311"/>
      <c r="T14" s="311"/>
      <c r="U14" s="311"/>
      <c r="V14" s="311"/>
      <c r="W14" s="311"/>
      <c r="X14" s="311"/>
      <c r="Y14" s="311"/>
      <c r="Z14" s="311"/>
      <c r="AA14" s="311"/>
      <c r="AB14" s="311"/>
      <c r="AC14" s="311"/>
      <c r="AD14" s="311"/>
      <c r="AE14" s="311"/>
    </row>
    <row r="15" spans="1:41">
      <c r="A15" s="47">
        <f t="shared" si="3"/>
        <v>2038</v>
      </c>
      <c r="B15" s="45">
        <f t="shared" si="4"/>
        <v>7167284.9292304935</v>
      </c>
      <c r="C15" s="46">
        <f t="shared" si="5"/>
        <v>1264814.9875112635</v>
      </c>
      <c r="D15" s="45">
        <f t="shared" si="6"/>
        <v>7105691.2071958249</v>
      </c>
      <c r="E15" s="46">
        <f t="shared" si="7"/>
        <v>1253945.5071522042</v>
      </c>
      <c r="F15" s="45">
        <f t="shared" si="0"/>
        <v>61593.72203466855</v>
      </c>
      <c r="G15" s="48">
        <f t="shared" si="1"/>
        <v>10869.480359059293</v>
      </c>
      <c r="H15" s="49">
        <f t="shared" si="2"/>
        <v>2558418.4321540324</v>
      </c>
      <c r="I15" s="375">
        <f>H15*NPV!C18</f>
        <v>1618421.3391345206</v>
      </c>
      <c r="J15" s="311"/>
      <c r="K15" s="311"/>
      <c r="L15" s="311"/>
      <c r="M15" s="311"/>
      <c r="N15" s="473"/>
      <c r="O15" s="477"/>
      <c r="P15" s="477"/>
      <c r="Q15" s="479"/>
      <c r="R15" s="311"/>
      <c r="S15" s="311"/>
      <c r="T15" s="311"/>
      <c r="U15" s="311"/>
      <c r="V15" s="311"/>
      <c r="W15" s="311"/>
      <c r="X15" s="311"/>
      <c r="Y15" s="311"/>
      <c r="Z15" s="311"/>
      <c r="AA15" s="311"/>
      <c r="AB15" s="311"/>
      <c r="AC15" s="311"/>
      <c r="AD15" s="311"/>
      <c r="AE15" s="311"/>
    </row>
    <row r="16" spans="1:41">
      <c r="A16" s="47">
        <f t="shared" si="3"/>
        <v>2039</v>
      </c>
      <c r="B16" s="45">
        <f t="shared" si="4"/>
        <v>7276431.4002340026</v>
      </c>
      <c r="C16" s="46">
        <f t="shared" si="5"/>
        <v>1284076.1294530593</v>
      </c>
      <c r="D16" s="45">
        <f t="shared" si="6"/>
        <v>7213899.7027368788</v>
      </c>
      <c r="E16" s="46">
        <f t="shared" si="7"/>
        <v>1273041.1240123902</v>
      </c>
      <c r="F16" s="45">
        <f t="shared" si="0"/>
        <v>62531.697497123852</v>
      </c>
      <c r="G16" s="48">
        <f t="shared" si="1"/>
        <v>11035.005440669134</v>
      </c>
      <c r="H16" s="49">
        <f t="shared" si="2"/>
        <v>2597379.1189380419</v>
      </c>
      <c r="I16" s="375">
        <f>H16*NPV!C19</f>
        <v>1593663.772429785</v>
      </c>
      <c r="J16" s="311"/>
      <c r="K16" s="311"/>
      <c r="L16" s="311"/>
      <c r="M16" s="311"/>
      <c r="N16" s="473"/>
      <c r="O16" s="477"/>
      <c r="P16" s="477"/>
      <c r="Q16" s="479"/>
      <c r="R16" s="311"/>
      <c r="S16" s="311"/>
      <c r="T16" s="311"/>
      <c r="U16" s="311"/>
      <c r="V16" s="311"/>
      <c r="W16" s="311"/>
      <c r="X16" s="311"/>
      <c r="Y16" s="311"/>
      <c r="Z16" s="311"/>
      <c r="AA16" s="311"/>
      <c r="AB16" s="311"/>
      <c r="AC16" s="311"/>
      <c r="AD16" s="311"/>
      <c r="AE16" s="311"/>
    </row>
    <row r="17" spans="1:31">
      <c r="A17" s="47">
        <f t="shared" si="3"/>
        <v>2040</v>
      </c>
      <c r="B17" s="45">
        <f t="shared" si="4"/>
        <v>7387240.0002375674</v>
      </c>
      <c r="C17" s="46">
        <f t="shared" si="5"/>
        <v>1303630.5882772175</v>
      </c>
      <c r="D17" s="45">
        <f t="shared" si="6"/>
        <v>7323756.0433876934</v>
      </c>
      <c r="E17" s="46">
        <f t="shared" si="7"/>
        <v>1292427.5370684164</v>
      </c>
      <c r="F17" s="45">
        <f t="shared" si="0"/>
        <v>63483.956849873997</v>
      </c>
      <c r="G17" s="48">
        <f t="shared" si="1"/>
        <v>11203.051208801102</v>
      </c>
      <c r="H17" s="49">
        <f t="shared" si="2"/>
        <v>2636933.1156732095</v>
      </c>
      <c r="I17" s="375">
        <f>H17*NPV!C20</f>
        <v>1569284.9310263337</v>
      </c>
      <c r="J17" s="311"/>
      <c r="K17" s="311"/>
      <c r="L17" s="311"/>
      <c r="M17" s="311"/>
      <c r="N17" s="473"/>
      <c r="O17" s="477"/>
      <c r="P17" s="477"/>
      <c r="Q17" s="479"/>
      <c r="R17" s="311"/>
      <c r="S17" s="311"/>
      <c r="T17" s="311"/>
      <c r="U17" s="311"/>
      <c r="V17" s="311"/>
      <c r="W17" s="311"/>
      <c r="X17" s="311"/>
      <c r="Y17" s="311"/>
      <c r="Z17" s="311"/>
      <c r="AA17" s="311"/>
      <c r="AB17" s="311"/>
      <c r="AC17" s="311"/>
      <c r="AD17" s="311"/>
      <c r="AE17" s="311"/>
    </row>
    <row r="18" spans="1:31">
      <c r="A18" s="47">
        <f t="shared" si="3"/>
        <v>2041</v>
      </c>
      <c r="B18" s="45">
        <f t="shared" si="4"/>
        <v>7499736.0408503218</v>
      </c>
      <c r="C18" s="46">
        <f t="shared" si="5"/>
        <v>1323482.8307382918</v>
      </c>
      <c r="D18" s="45">
        <f t="shared" si="6"/>
        <v>7435285.3232362363</v>
      </c>
      <c r="E18" s="46">
        <f t="shared" si="7"/>
        <v>1312109.1746887476</v>
      </c>
      <c r="F18" s="45">
        <f t="shared" si="0"/>
        <v>64450.717614085414</v>
      </c>
      <c r="G18" s="48">
        <f t="shared" si="1"/>
        <v>11373.656049544225</v>
      </c>
      <c r="H18" s="49">
        <f t="shared" si="2"/>
        <v>2677089.4575362564</v>
      </c>
      <c r="I18" s="375">
        <f>H18*NPV!C21</f>
        <v>1545279.0214284449</v>
      </c>
      <c r="J18" s="311"/>
      <c r="K18" s="311"/>
      <c r="L18" s="311"/>
      <c r="M18" s="311"/>
      <c r="N18" s="473"/>
      <c r="O18" s="477"/>
      <c r="P18" s="477"/>
      <c r="Q18" s="479"/>
      <c r="R18" s="311"/>
      <c r="S18" s="311"/>
      <c r="T18" s="311"/>
      <c r="U18" s="311"/>
      <c r="V18" s="311"/>
      <c r="W18" s="311"/>
      <c r="X18" s="311"/>
      <c r="Y18" s="311"/>
      <c r="Z18" s="311"/>
      <c r="AA18" s="311"/>
      <c r="AB18" s="311"/>
      <c r="AC18" s="311"/>
      <c r="AD18" s="311"/>
      <c r="AE18" s="311"/>
    </row>
    <row r="19" spans="1:31">
      <c r="A19" s="47">
        <f t="shared" si="3"/>
        <v>2042</v>
      </c>
      <c r="B19" s="45">
        <f t="shared" si="4"/>
        <v>7613945.2191373818</v>
      </c>
      <c r="C19" s="46">
        <f t="shared" si="5"/>
        <v>1343637.391612479</v>
      </c>
      <c r="D19" s="45">
        <f t="shared" si="6"/>
        <v>7548513.0185139459</v>
      </c>
      <c r="E19" s="46">
        <f t="shared" si="7"/>
        <v>1332090.5326789317</v>
      </c>
      <c r="F19" s="45">
        <f t="shared" si="0"/>
        <v>65432.2006234359</v>
      </c>
      <c r="G19" s="48">
        <f t="shared" si="1"/>
        <v>11546.858933547279</v>
      </c>
      <c r="H19" s="49">
        <f t="shared" si="2"/>
        <v>2717857.3172956486</v>
      </c>
      <c r="I19" s="375">
        <f>H19*NPV!C22</f>
        <v>1521640.3387656955</v>
      </c>
      <c r="J19" s="311"/>
      <c r="K19" s="311"/>
      <c r="L19" s="311"/>
      <c r="M19" s="311"/>
      <c r="N19" s="473"/>
      <c r="O19" s="477"/>
      <c r="P19" s="477"/>
      <c r="Q19" s="479"/>
      <c r="R19" s="311"/>
      <c r="S19" s="311"/>
      <c r="T19" s="311"/>
      <c r="U19" s="311"/>
      <c r="V19" s="311"/>
      <c r="W19" s="311"/>
      <c r="X19" s="311"/>
      <c r="Y19" s="311"/>
      <c r="Z19" s="311"/>
      <c r="AA19" s="311"/>
      <c r="AB19" s="311"/>
      <c r="AC19" s="311"/>
      <c r="AD19" s="311"/>
      <c r="AE19" s="311"/>
    </row>
    <row r="20" spans="1:31">
      <c r="A20" s="47">
        <f t="shared" si="3"/>
        <v>2043</v>
      </c>
      <c r="B20" s="45">
        <f t="shared" si="4"/>
        <v>7729893.6234897282</v>
      </c>
      <c r="C20" s="46">
        <f t="shared" si="5"/>
        <v>1364098.8747334813</v>
      </c>
      <c r="D20" s="45">
        <f t="shared" si="6"/>
        <v>7663464.9934151741</v>
      </c>
      <c r="E20" s="46">
        <f t="shared" si="7"/>
        <v>1352376.17530856</v>
      </c>
      <c r="F20" s="45">
        <f t="shared" si="0"/>
        <v>66428.630074554123</v>
      </c>
      <c r="G20" s="48">
        <f t="shared" si="1"/>
        <v>11722.699424921302</v>
      </c>
      <c r="H20" s="49">
        <f t="shared" si="2"/>
        <v>2759246.0074067544</v>
      </c>
      <c r="I20" s="375">
        <f>H20*NPV!C23</f>
        <v>1498363.2654371322</v>
      </c>
      <c r="J20" s="311"/>
      <c r="K20" s="311"/>
      <c r="L20" s="311"/>
      <c r="M20" s="311"/>
      <c r="N20" s="473"/>
      <c r="O20" s="477"/>
      <c r="P20" s="477"/>
      <c r="Q20" s="479"/>
      <c r="R20" s="311"/>
      <c r="S20" s="311"/>
      <c r="T20" s="311"/>
      <c r="U20" s="311"/>
      <c r="V20" s="311"/>
      <c r="W20" s="311"/>
      <c r="X20" s="311"/>
      <c r="Y20" s="311"/>
      <c r="Z20" s="311"/>
      <c r="AA20" s="311"/>
      <c r="AB20" s="311"/>
      <c r="AC20" s="311"/>
      <c r="AD20" s="311"/>
      <c r="AE20" s="311"/>
    </row>
    <row r="21" spans="1:31">
      <c r="A21" s="47">
        <f t="shared" si="3"/>
        <v>2044</v>
      </c>
      <c r="B21" s="45">
        <f t="shared" si="4"/>
        <v>7847607.7395834802</v>
      </c>
      <c r="C21" s="46">
        <f t="shared" si="5"/>
        <v>1384871.9540441434</v>
      </c>
      <c r="D21" s="45">
        <f t="shared" si="6"/>
        <v>7780167.5060052536</v>
      </c>
      <c r="E21" s="46">
        <f t="shared" si="7"/>
        <v>1372970.7363538682</v>
      </c>
      <c r="F21" s="45">
        <f t="shared" si="0"/>
        <v>67440.233578226529</v>
      </c>
      <c r="G21" s="48">
        <f t="shared" si="1"/>
        <v>11901.217690275284</v>
      </c>
      <c r="H21" s="49">
        <f t="shared" si="2"/>
        <v>2801264.9821387962</v>
      </c>
      <c r="I21" s="375">
        <f>H21*NPV!C24</f>
        <v>1475442.269776138</v>
      </c>
      <c r="J21" s="311"/>
      <c r="K21" s="311"/>
      <c r="L21" s="311"/>
      <c r="M21" s="311"/>
      <c r="N21" s="473"/>
      <c r="O21" s="477"/>
      <c r="P21" s="477"/>
      <c r="Q21" s="479"/>
      <c r="R21" s="311"/>
      <c r="S21" s="311"/>
      <c r="T21" s="311"/>
      <c r="U21" s="311"/>
      <c r="V21" s="311"/>
      <c r="W21" s="311"/>
      <c r="X21" s="311"/>
      <c r="Y21" s="311"/>
      <c r="Z21" s="311"/>
      <c r="AA21" s="311"/>
      <c r="AB21" s="311"/>
      <c r="AC21" s="311"/>
      <c r="AD21" s="311"/>
      <c r="AE21" s="311"/>
    </row>
    <row r="22" spans="1:31">
      <c r="A22" s="47">
        <f t="shared" si="3"/>
        <v>2045</v>
      </c>
      <c r="B22" s="45">
        <f t="shared" si="4"/>
        <v>7967114.4564299285</v>
      </c>
      <c r="C22" s="46">
        <f t="shared" si="5"/>
        <v>1405961.374664105</v>
      </c>
      <c r="D22" s="45">
        <f t="shared" si="6"/>
        <v>7898647.2142185317</v>
      </c>
      <c r="E22" s="46">
        <f t="shared" si="7"/>
        <v>1393878.9201562114</v>
      </c>
      <c r="F22" s="45">
        <f t="shared" si="0"/>
        <v>68467.242211396806</v>
      </c>
      <c r="G22" s="48">
        <f t="shared" si="1"/>
        <v>12082.45450789365</v>
      </c>
      <c r="H22" s="49">
        <f t="shared" si="2"/>
        <v>2843923.8397347922</v>
      </c>
      <c r="I22" s="375">
        <f>H22*NPV!C25</f>
        <v>1452871.9047360502</v>
      </c>
      <c r="J22" s="311"/>
      <c r="K22" s="311"/>
      <c r="L22" s="311"/>
      <c r="M22" s="311"/>
      <c r="N22" s="473"/>
      <c r="O22" s="477"/>
      <c r="P22" s="477"/>
      <c r="Q22" s="479"/>
      <c r="R22" s="311"/>
      <c r="S22" s="311"/>
      <c r="T22" s="311"/>
      <c r="U22" s="311"/>
      <c r="V22" s="311"/>
      <c r="W22" s="311"/>
      <c r="X22" s="311"/>
      <c r="Y22" s="311"/>
      <c r="Z22" s="311"/>
      <c r="AA22" s="311"/>
      <c r="AB22" s="311"/>
      <c r="AC22" s="311"/>
      <c r="AD22" s="311"/>
      <c r="AE22" s="311"/>
    </row>
    <row r="23" spans="1:31">
      <c r="A23" s="47">
        <f t="shared" si="3"/>
        <v>2046</v>
      </c>
      <c r="B23" s="45">
        <f t="shared" si="4"/>
        <v>8088441.0725176949</v>
      </c>
      <c r="C23" s="46">
        <f t="shared" si="5"/>
        <v>1427371.9539737108</v>
      </c>
      <c r="D23" s="45">
        <f t="shared" si="6"/>
        <v>8018931.1819477491</v>
      </c>
      <c r="E23" s="46">
        <f t="shared" si="7"/>
        <v>1415105.5026966613</v>
      </c>
      <c r="F23" s="45">
        <f t="shared" si="0"/>
        <v>69509.890569945797</v>
      </c>
      <c r="G23" s="48">
        <f t="shared" si="1"/>
        <v>12266.451277049491</v>
      </c>
      <c r="H23" s="49">
        <f t="shared" si="2"/>
        <v>2887232.3246038468</v>
      </c>
      <c r="I23" s="375">
        <f>H23*NPV!C26</f>
        <v>1430646.8065955858</v>
      </c>
      <c r="J23" s="311"/>
      <c r="K23" s="311"/>
      <c r="L23" s="311"/>
      <c r="M23" s="311"/>
      <c r="N23" s="473"/>
      <c r="O23" s="477"/>
      <c r="P23" s="477"/>
      <c r="Q23" s="479"/>
      <c r="R23" s="311"/>
      <c r="S23" s="311"/>
      <c r="T23" s="311"/>
      <c r="U23" s="311"/>
      <c r="V23" s="311"/>
      <c r="W23" s="311"/>
      <c r="X23" s="311"/>
      <c r="Y23" s="311"/>
      <c r="Z23" s="311"/>
      <c r="AA23" s="311"/>
      <c r="AB23" s="311"/>
      <c r="AC23" s="311"/>
      <c r="AD23" s="311"/>
      <c r="AE23" s="311"/>
    </row>
    <row r="24" spans="1:31">
      <c r="A24" s="47">
        <f t="shared" si="3"/>
        <v>2047</v>
      </c>
      <c r="B24" s="45">
        <f t="shared" si="4"/>
        <v>8211615.3020484224</v>
      </c>
      <c r="C24" s="46">
        <f t="shared" si="5"/>
        <v>1449108.5827144273</v>
      </c>
      <c r="D24" s="45">
        <f t="shared" si="6"/>
        <v>8141046.8852261398</v>
      </c>
      <c r="E24" s="46">
        <f t="shared" si="7"/>
        <v>1436655.3326869658</v>
      </c>
      <c r="F24" s="45">
        <f t="shared" si="0"/>
        <v>70568.416822282597</v>
      </c>
      <c r="G24" s="48">
        <f t="shared" si="1"/>
        <v>12453.250027461443</v>
      </c>
      <c r="H24" s="49">
        <f t="shared" si="2"/>
        <v>2931200.3295471449</v>
      </c>
      <c r="I24" s="375">
        <f>H24*NPV!C27</f>
        <v>1408761.6936842464</v>
      </c>
      <c r="J24" s="311"/>
      <c r="K24" s="311"/>
      <c r="L24" s="311"/>
      <c r="M24" s="311"/>
      <c r="N24" s="473"/>
      <c r="O24" s="477"/>
      <c r="P24" s="477"/>
      <c r="Q24" s="479"/>
      <c r="R24" s="311"/>
      <c r="S24" s="311"/>
      <c r="T24" s="311"/>
      <c r="U24" s="311"/>
      <c r="V24" s="311"/>
      <c r="W24" s="311"/>
      <c r="X24" s="311"/>
      <c r="Y24" s="311"/>
      <c r="Z24" s="311"/>
      <c r="AA24" s="311"/>
      <c r="AB24" s="311"/>
      <c r="AC24" s="311"/>
      <c r="AD24" s="311"/>
      <c r="AE24" s="311"/>
    </row>
    <row r="25" spans="1:31">
      <c r="A25" s="47">
        <f t="shared" si="3"/>
        <v>2048</v>
      </c>
      <c r="B25" s="45">
        <f t="shared" si="4"/>
        <v>8336665.2812674344</v>
      </c>
      <c r="C25" s="46">
        <f t="shared" si="5"/>
        <v>1471176.2261060176</v>
      </c>
      <c r="D25" s="45">
        <f t="shared" si="6"/>
        <v>8265022.2185036968</v>
      </c>
      <c r="E25" s="46">
        <f t="shared" si="7"/>
        <v>1458533.3326771227</v>
      </c>
      <c r="F25" s="45">
        <f t="shared" si="0"/>
        <v>71643.062763737515</v>
      </c>
      <c r="G25" s="48">
        <f t="shared" si="1"/>
        <v>12642.893428894924</v>
      </c>
      <c r="H25" s="49">
        <f t="shared" si="2"/>
        <v>2975837.8980173673</v>
      </c>
      <c r="I25" s="375">
        <f>H25*NPV!C28</f>
        <v>1387211.3651269805</v>
      </c>
      <c r="J25" s="311"/>
      <c r="K25" s="311"/>
      <c r="L25" s="311"/>
      <c r="M25" s="311"/>
      <c r="N25" s="473"/>
      <c r="O25" s="477"/>
      <c r="P25" s="477"/>
      <c r="Q25" s="479"/>
      <c r="R25" s="311"/>
      <c r="S25" s="311"/>
      <c r="T25" s="311"/>
      <c r="U25" s="311"/>
      <c r="V25" s="311"/>
      <c r="W25" s="311"/>
      <c r="X25" s="311"/>
      <c r="Y25" s="311"/>
      <c r="Z25" s="311"/>
      <c r="AA25" s="311"/>
      <c r="AB25" s="311"/>
      <c r="AC25" s="311"/>
      <c r="AD25" s="311"/>
      <c r="AE25" s="311"/>
    </row>
    <row r="26" spans="1:31">
      <c r="A26" s="47">
        <f t="shared" si="3"/>
        <v>2049</v>
      </c>
      <c r="B26" s="45">
        <f t="shared" si="4"/>
        <v>8463619.5748907961</v>
      </c>
      <c r="C26" s="46">
        <f t="shared" si="5"/>
        <v>1493579.9249807287</v>
      </c>
      <c r="D26" s="45">
        <f t="shared" si="6"/>
        <v>8390885.5010189805</v>
      </c>
      <c r="E26" s="46">
        <f t="shared" si="7"/>
        <v>1480744.50017982</v>
      </c>
      <c r="F26" s="45">
        <f t="shared" si="0"/>
        <v>72734.073871815577</v>
      </c>
      <c r="G26" s="48">
        <f t="shared" si="1"/>
        <v>12835.424800908659</v>
      </c>
      <c r="H26" s="49">
        <f t="shared" si="2"/>
        <v>3021155.2264136048</v>
      </c>
      <c r="I26" s="375">
        <f>H26*NPV!C29</f>
        <v>1365990.6996085772</v>
      </c>
      <c r="J26" s="311"/>
      <c r="K26" s="311"/>
      <c r="L26" s="311"/>
      <c r="M26" s="311"/>
      <c r="N26" s="473"/>
      <c r="O26" s="477"/>
      <c r="P26" s="477"/>
      <c r="Q26" s="479"/>
      <c r="R26" s="311"/>
      <c r="S26" s="311"/>
      <c r="T26" s="311"/>
      <c r="U26" s="311"/>
      <c r="V26" s="311"/>
      <c r="W26" s="311"/>
      <c r="X26" s="311"/>
      <c r="Y26" s="311"/>
      <c r="Z26" s="311"/>
      <c r="AA26" s="311"/>
      <c r="AB26" s="311"/>
      <c r="AC26" s="311"/>
      <c r="AD26" s="311"/>
      <c r="AE26" s="311"/>
    </row>
    <row r="27" spans="1:31">
      <c r="A27" s="47">
        <f t="shared" si="3"/>
        <v>2050</v>
      </c>
      <c r="B27" s="45">
        <f t="shared" si="4"/>
        <v>8592507.1826302502</v>
      </c>
      <c r="C27" s="46">
        <f t="shared" si="5"/>
        <v>1516324.7969347499</v>
      </c>
      <c r="D27" s="45">
        <f t="shared" si="6"/>
        <v>8518665.4832680002</v>
      </c>
      <c r="E27" s="46">
        <f t="shared" si="7"/>
        <v>1503293.908812</v>
      </c>
      <c r="F27" s="45">
        <f t="shared" si="0"/>
        <v>73841.699362250045</v>
      </c>
      <c r="G27" s="48">
        <f t="shared" si="1"/>
        <v>13030.888122749981</v>
      </c>
      <c r="H27" s="49">
        <f t="shared" si="2"/>
        <v>3067162.6664097789</v>
      </c>
      <c r="I27" s="375">
        <f>H27*NPV!C30</f>
        <v>1345094.6541562718</v>
      </c>
      <c r="J27" s="311"/>
      <c r="K27" s="311"/>
      <c r="L27" s="311"/>
      <c r="M27" s="311"/>
      <c r="N27" s="473"/>
      <c r="O27" s="477"/>
      <c r="P27" s="477"/>
      <c r="Q27" s="479"/>
      <c r="R27" s="311"/>
      <c r="S27" s="311"/>
      <c r="T27" s="311"/>
      <c r="U27" s="311"/>
      <c r="V27" s="311"/>
      <c r="W27" s="311"/>
      <c r="X27" s="311"/>
      <c r="Y27" s="311"/>
      <c r="Z27" s="311"/>
      <c r="AA27" s="311"/>
      <c r="AB27" s="311"/>
      <c r="AC27" s="311"/>
      <c r="AD27" s="311"/>
      <c r="AE27" s="311"/>
    </row>
    <row r="28" spans="1:31">
      <c r="A28" s="47">
        <f t="shared" si="3"/>
        <v>2051</v>
      </c>
      <c r="B28" s="45">
        <f t="shared" si="4"/>
        <v>8721394.7903697044</v>
      </c>
      <c r="C28" s="46">
        <f t="shared" si="5"/>
        <v>1539069.668888771</v>
      </c>
      <c r="D28" s="45">
        <f t="shared" si="6"/>
        <v>8646445.4655170199</v>
      </c>
      <c r="E28" s="46">
        <f t="shared" si="7"/>
        <v>1525843.3174441799</v>
      </c>
      <c r="F28" s="45">
        <f t="shared" si="0"/>
        <v>74949.324852684513</v>
      </c>
      <c r="G28" s="48">
        <f t="shared" si="1"/>
        <v>13226.35144459107</v>
      </c>
      <c r="H28" s="49">
        <f t="shared" si="2"/>
        <v>3113170.1064059455</v>
      </c>
      <c r="I28" s="375">
        <f>H28*NPV!C31</f>
        <v>1324220.2463323225</v>
      </c>
      <c r="J28" s="311"/>
      <c r="K28" s="311"/>
      <c r="L28" s="311"/>
      <c r="M28" s="311"/>
      <c r="N28" s="473"/>
      <c r="O28" s="477"/>
      <c r="P28" s="477"/>
      <c r="Q28" s="479"/>
      <c r="R28" s="311"/>
      <c r="S28" s="311"/>
      <c r="T28" s="311"/>
      <c r="U28" s="311"/>
      <c r="V28" s="311"/>
      <c r="W28" s="311"/>
      <c r="X28" s="311"/>
      <c r="Y28" s="311"/>
      <c r="Z28" s="311"/>
      <c r="AA28" s="311"/>
      <c r="AB28" s="311"/>
      <c r="AC28" s="311"/>
      <c r="AD28" s="311"/>
      <c r="AE28" s="311"/>
    </row>
    <row r="29" spans="1:31">
      <c r="A29" s="47">
        <f t="shared" si="3"/>
        <v>2052</v>
      </c>
      <c r="B29" s="45">
        <f t="shared" si="4"/>
        <v>8852567.197260879</v>
      </c>
      <c r="C29" s="46">
        <f t="shared" si="5"/>
        <v>1561804.22888647</v>
      </c>
      <c r="D29" s="45">
        <f t="shared" si="6"/>
        <v>8776142.1474997737</v>
      </c>
      <c r="E29" s="46">
        <f t="shared" si="7"/>
        <v>1548730.9672058425</v>
      </c>
      <c r="F29" s="45">
        <f t="shared" si="0"/>
        <v>76425.049761105329</v>
      </c>
      <c r="G29" s="48">
        <f t="shared" si="1"/>
        <v>13073.261680627475</v>
      </c>
      <c r="H29" s="49">
        <f t="shared" si="2"/>
        <v>3159704.9204304689</v>
      </c>
      <c r="I29" s="375">
        <f>H29*NPV!C32</f>
        <v>1303602.6458373885</v>
      </c>
      <c r="J29" s="311"/>
      <c r="K29" s="311"/>
      <c r="L29" s="311"/>
      <c r="M29" s="311"/>
      <c r="N29" s="473"/>
      <c r="O29" s="477"/>
      <c r="P29" s="477"/>
      <c r="Q29" s="479"/>
      <c r="R29" s="311"/>
      <c r="S29" s="311"/>
      <c r="T29" s="311"/>
      <c r="U29" s="311"/>
      <c r="V29" s="311"/>
      <c r="W29" s="311"/>
      <c r="X29" s="311"/>
      <c r="Y29" s="311"/>
      <c r="Z29" s="311"/>
      <c r="AA29" s="311"/>
      <c r="AB29" s="311"/>
      <c r="AC29" s="311"/>
      <c r="AD29" s="311"/>
      <c r="AE29" s="311"/>
    </row>
    <row r="30" spans="1:31">
      <c r="A30" s="47">
        <f t="shared" si="3"/>
        <v>2053</v>
      </c>
      <c r="B30" s="45">
        <f t="shared" si="4"/>
        <v>8984998.947908625</v>
      </c>
      <c r="C30" s="46">
        <f t="shared" si="5"/>
        <v>1585588.0496309339</v>
      </c>
      <c r="D30" s="45">
        <f t="shared" si="6"/>
        <v>8907784.2797122691</v>
      </c>
      <c r="E30" s="46">
        <f t="shared" si="7"/>
        <v>1571961.9317139299</v>
      </c>
      <c r="F30" s="45">
        <f t="shared" si="0"/>
        <v>77214.668196355924</v>
      </c>
      <c r="G30" s="48">
        <f t="shared" si="1"/>
        <v>13626.117917004041</v>
      </c>
      <c r="H30" s="49">
        <f t="shared" si="2"/>
        <v>3207265.6728720376</v>
      </c>
      <c r="I30" s="375">
        <f>H30*NPV!C33</f>
        <v>1283438.2477604591</v>
      </c>
      <c r="J30" s="311"/>
      <c r="K30" s="311"/>
      <c r="L30" s="311"/>
      <c r="M30" s="311"/>
      <c r="N30" s="473"/>
      <c r="O30" s="477"/>
      <c r="P30" s="477"/>
      <c r="Q30" s="479"/>
      <c r="R30" s="311"/>
      <c r="S30" s="311"/>
      <c r="T30" s="311"/>
      <c r="U30" s="311"/>
      <c r="V30" s="311"/>
      <c r="W30" s="311"/>
      <c r="X30" s="311"/>
      <c r="Y30" s="311"/>
      <c r="Z30" s="311"/>
      <c r="AA30" s="311"/>
      <c r="AB30" s="311"/>
      <c r="AC30" s="311"/>
      <c r="AD30" s="311"/>
      <c r="AE30" s="311"/>
    </row>
    <row r="31" spans="1:31">
      <c r="A31" s="47">
        <f t="shared" si="3"/>
        <v>2054</v>
      </c>
      <c r="B31" s="45">
        <f t="shared" si="4"/>
        <v>9119773.9321272522</v>
      </c>
      <c r="C31" s="46">
        <f t="shared" si="5"/>
        <v>1609371.8703753978</v>
      </c>
      <c r="D31" s="45">
        <f t="shared" si="6"/>
        <v>9041401.0439079534</v>
      </c>
      <c r="E31" s="46">
        <f t="shared" si="7"/>
        <v>1595541.3606896386</v>
      </c>
      <c r="F31" s="45">
        <f t="shared" si="0"/>
        <v>78372.888219298795</v>
      </c>
      <c r="G31" s="48">
        <f t="shared" si="1"/>
        <v>13830.5096857592</v>
      </c>
      <c r="H31" s="49">
        <f t="shared" si="2"/>
        <v>3255374.6579650352</v>
      </c>
      <c r="I31" s="375">
        <f>H31*NPV!C34</f>
        <v>1263520.6803849011</v>
      </c>
      <c r="J31" s="311"/>
      <c r="K31" s="311"/>
      <c r="L31" s="311"/>
      <c r="M31" s="311"/>
      <c r="N31" s="473"/>
      <c r="O31" s="477"/>
      <c r="P31" s="477"/>
      <c r="Q31" s="479"/>
      <c r="R31" s="311"/>
      <c r="S31" s="311"/>
      <c r="T31" s="311"/>
      <c r="U31" s="311"/>
      <c r="V31" s="311"/>
      <c r="W31" s="311"/>
      <c r="X31" s="311"/>
      <c r="Y31" s="311"/>
      <c r="Z31" s="311"/>
      <c r="AA31" s="311"/>
      <c r="AB31" s="311"/>
      <c r="AC31" s="311"/>
      <c r="AD31" s="311"/>
      <c r="AE31" s="311"/>
    </row>
    <row r="32" spans="1:31">
      <c r="A32" s="47">
        <f t="shared" si="3"/>
        <v>2055</v>
      </c>
      <c r="B32" s="45">
        <f t="shared" si="4"/>
        <v>9256570.5411091615</v>
      </c>
      <c r="C32" s="46">
        <f t="shared" si="5"/>
        <v>1633512.4484310288</v>
      </c>
      <c r="D32" s="45">
        <f t="shared" si="6"/>
        <v>9177022.0595665704</v>
      </c>
      <c r="E32" s="46">
        <f t="shared" si="7"/>
        <v>1619474.481099983</v>
      </c>
      <c r="F32" s="45">
        <f t="shared" si="0"/>
        <v>79548.481542591006</v>
      </c>
      <c r="G32" s="48">
        <f t="shared" si="1"/>
        <v>14037.967331045773</v>
      </c>
      <c r="H32" s="49">
        <f t="shared" si="2"/>
        <v>3304205.2778346133</v>
      </c>
      <c r="I32" s="375">
        <f>H32*NPV!C35</f>
        <v>1243912.2120181515</v>
      </c>
      <c r="J32" s="311"/>
      <c r="K32" s="311"/>
      <c r="L32" s="311"/>
      <c r="M32" s="311"/>
      <c r="N32" s="473"/>
      <c r="O32" s="477"/>
      <c r="P32" s="477"/>
      <c r="Q32" s="479"/>
      <c r="R32" s="311"/>
      <c r="S32" s="311"/>
      <c r="T32" s="311"/>
      <c r="U32" s="311"/>
      <c r="V32" s="311"/>
      <c r="W32" s="311"/>
      <c r="X32" s="311"/>
      <c r="Y32" s="311"/>
      <c r="Z32" s="311"/>
      <c r="AA32" s="311"/>
      <c r="AB32" s="311"/>
      <c r="AC32" s="311"/>
      <c r="AD32" s="311"/>
      <c r="AE32" s="311"/>
    </row>
    <row r="33" spans="1:41">
      <c r="A33" s="47">
        <f t="shared" si="3"/>
        <v>2056</v>
      </c>
      <c r="B33" s="45">
        <f t="shared" si="4"/>
        <v>8576769.2347228155</v>
      </c>
      <c r="C33" s="46">
        <f t="shared" si="5"/>
        <v>1658015.1351574941</v>
      </c>
      <c r="D33" s="45">
        <f t="shared" si="6"/>
        <v>8503062.7830587365</v>
      </c>
      <c r="E33" s="46">
        <f t="shared" si="7"/>
        <v>1643766.5983164825</v>
      </c>
      <c r="F33" s="45">
        <f t="shared" si="0"/>
        <v>73706.451664078981</v>
      </c>
      <c r="G33" s="48">
        <f t="shared" si="1"/>
        <v>14248.536841011606</v>
      </c>
      <c r="H33" s="49">
        <f t="shared" si="2"/>
        <v>3105867.0025112657</v>
      </c>
      <c r="I33" s="375">
        <f>H33*NPV!C36</f>
        <v>1134088.3792569016</v>
      </c>
      <c r="J33" s="311"/>
      <c r="K33" s="311"/>
      <c r="L33" s="311"/>
      <c r="M33" s="311"/>
      <c r="N33" s="473"/>
      <c r="O33" s="477"/>
      <c r="P33" s="477"/>
      <c r="Q33" s="479"/>
      <c r="R33" s="311"/>
      <c r="S33" s="311"/>
      <c r="T33" s="311"/>
      <c r="U33" s="311"/>
      <c r="V33" s="311"/>
      <c r="W33" s="311"/>
      <c r="X33" s="311"/>
      <c r="Y33" s="311"/>
      <c r="Z33" s="311"/>
      <c r="AA33" s="311"/>
      <c r="AB33" s="311"/>
      <c r="AC33" s="311"/>
      <c r="AD33" s="311"/>
      <c r="AE33" s="311"/>
    </row>
    <row r="34" spans="1:41">
      <c r="A34" s="47">
        <f t="shared" si="3"/>
        <v>2057</v>
      </c>
      <c r="B34" s="45">
        <f t="shared" si="4"/>
        <v>9536350.3857141845</v>
      </c>
      <c r="C34" s="46">
        <f t="shared" si="5"/>
        <v>1682885.3621848563</v>
      </c>
      <c r="D34" s="45">
        <f t="shared" si="6"/>
        <v>9454397.551316971</v>
      </c>
      <c r="E34" s="46">
        <f t="shared" si="7"/>
        <v>1668423.0972912295</v>
      </c>
      <c r="F34" s="45">
        <f t="shared" si="0"/>
        <v>81952.834397213534</v>
      </c>
      <c r="G34" s="48">
        <f t="shared" si="1"/>
        <v>14462.264893626794</v>
      </c>
      <c r="H34" s="49">
        <f t="shared" si="2"/>
        <v>3404074.8823570902</v>
      </c>
      <c r="I34" s="375">
        <f>H34*NPV!C37</f>
        <v>1205603.4592298048</v>
      </c>
      <c r="J34" s="311"/>
      <c r="K34" s="311"/>
      <c r="L34" s="311"/>
      <c r="M34" s="311"/>
      <c r="N34" s="473"/>
      <c r="O34" s="477"/>
      <c r="P34" s="477"/>
      <c r="Q34" s="479"/>
      <c r="R34" s="311"/>
      <c r="S34" s="311"/>
      <c r="T34" s="311"/>
      <c r="U34" s="311"/>
      <c r="V34" s="311"/>
      <c r="W34" s="311"/>
      <c r="X34" s="311"/>
      <c r="Y34" s="311"/>
      <c r="Z34" s="311"/>
      <c r="AA34" s="311"/>
      <c r="AB34" s="311"/>
      <c r="AC34" s="311"/>
      <c r="AD34" s="311"/>
      <c r="AE34" s="311"/>
    </row>
    <row r="35" spans="1:41">
      <c r="A35" s="47">
        <f>A34+1</f>
        <v>2058</v>
      </c>
      <c r="B35" s="45">
        <f t="shared" si="4"/>
        <v>9679395.6414998956</v>
      </c>
      <c r="C35" s="46">
        <f t="shared" si="5"/>
        <v>1708128.6426176289</v>
      </c>
      <c r="D35" s="45">
        <f t="shared" si="6"/>
        <v>9596213.5145867243</v>
      </c>
      <c r="E35" s="46">
        <f t="shared" si="7"/>
        <v>1693449.4437505978</v>
      </c>
      <c r="F35" s="45">
        <f t="shared" si="0"/>
        <v>83182.126913171262</v>
      </c>
      <c r="G35" s="48">
        <f t="shared" si="1"/>
        <v>14679.19886703114</v>
      </c>
      <c r="H35" s="49">
        <f t="shared" si="2"/>
        <v>3455136.0055924277</v>
      </c>
      <c r="I35" s="375">
        <f>H35*NPV!C38</f>
        <v>1186893.8032184725</v>
      </c>
      <c r="J35" s="311"/>
      <c r="K35" s="311"/>
      <c r="L35" s="311"/>
      <c r="M35" s="311"/>
      <c r="N35" s="473"/>
      <c r="O35" s="477"/>
      <c r="P35" s="477"/>
      <c r="Q35" s="479"/>
      <c r="R35" s="311"/>
      <c r="S35" s="311"/>
      <c r="T35" s="311"/>
      <c r="U35" s="311"/>
      <c r="V35" s="311"/>
      <c r="W35" s="311"/>
      <c r="X35" s="311"/>
      <c r="Y35" s="311"/>
      <c r="Z35" s="311"/>
      <c r="AA35" s="311"/>
      <c r="AB35" s="311"/>
      <c r="AC35" s="311"/>
      <c r="AD35" s="311"/>
      <c r="AE35" s="311"/>
    </row>
    <row r="36" spans="1:41">
      <c r="A36" s="47">
        <f t="shared" ref="A36:A40" si="8">A35+1</f>
        <v>2059</v>
      </c>
      <c r="B36" s="45">
        <f t="shared" si="4"/>
        <v>9824586.576122392</v>
      </c>
      <c r="C36" s="46">
        <f t="shared" si="5"/>
        <v>1733750.5722568932</v>
      </c>
      <c r="D36" s="45">
        <f t="shared" si="6"/>
        <v>9740156.7173055243</v>
      </c>
      <c r="E36" s="46">
        <f t="shared" si="7"/>
        <v>1718851.1854068565</v>
      </c>
      <c r="F36" s="45">
        <f t="shared" si="0"/>
        <v>84429.858816867694</v>
      </c>
      <c r="G36" s="48">
        <f t="shared" si="1"/>
        <v>14899.386850036681</v>
      </c>
      <c r="H36" s="49">
        <f t="shared" si="2"/>
        <v>3506963.0456762766</v>
      </c>
      <c r="I36" s="375">
        <f>H36*NPV!C39</f>
        <v>1168474.5007436827</v>
      </c>
      <c r="J36" s="311"/>
      <c r="K36" s="311"/>
      <c r="L36" s="311"/>
      <c r="M36" s="311"/>
      <c r="N36" s="473"/>
      <c r="O36" s="477"/>
      <c r="P36" s="477"/>
      <c r="Q36" s="479"/>
      <c r="R36" s="311"/>
      <c r="S36" s="311"/>
      <c r="T36" s="311"/>
      <c r="U36" s="311"/>
      <c r="V36" s="311"/>
      <c r="W36" s="311"/>
      <c r="X36" s="311"/>
      <c r="Y36" s="311"/>
      <c r="Z36" s="311"/>
      <c r="AA36" s="311"/>
      <c r="AB36" s="311"/>
      <c r="AC36" s="311"/>
      <c r="AD36" s="311"/>
      <c r="AE36" s="311"/>
    </row>
    <row r="37" spans="1:41">
      <c r="A37" s="47">
        <f t="shared" si="8"/>
        <v>2060</v>
      </c>
      <c r="B37" s="45">
        <f t="shared" si="4"/>
        <v>9971955.3747642264</v>
      </c>
      <c r="C37" s="46">
        <f t="shared" si="5"/>
        <v>1759756.8308407464</v>
      </c>
      <c r="D37" s="45">
        <f t="shared" si="6"/>
        <v>9886259.068065105</v>
      </c>
      <c r="E37" s="46">
        <f t="shared" si="7"/>
        <v>1744633.953187959</v>
      </c>
      <c r="F37" s="45">
        <f t="shared" si="0"/>
        <v>85696.306699121371</v>
      </c>
      <c r="G37" s="48">
        <f t="shared" si="1"/>
        <v>15122.877652787371</v>
      </c>
      <c r="H37" s="49">
        <f t="shared" si="2"/>
        <v>3559567.4913614495</v>
      </c>
      <c r="I37" s="375">
        <f>H37*NPV!C40</f>
        <v>1150341.0458339937</v>
      </c>
      <c r="J37" s="311"/>
      <c r="K37" s="311"/>
      <c r="L37" s="311"/>
      <c r="M37" s="311"/>
      <c r="N37" s="473"/>
      <c r="O37" s="477"/>
      <c r="P37" s="477"/>
      <c r="Q37" s="479"/>
      <c r="R37" s="311"/>
      <c r="S37" s="311"/>
      <c r="T37" s="311"/>
      <c r="U37" s="311"/>
      <c r="V37" s="311"/>
      <c r="W37" s="311"/>
      <c r="X37" s="311"/>
      <c r="Y37" s="311"/>
      <c r="Z37" s="311"/>
      <c r="AA37" s="311"/>
      <c r="AB37" s="311"/>
      <c r="AC37" s="311"/>
      <c r="AD37" s="311"/>
      <c r="AE37" s="311"/>
    </row>
    <row r="38" spans="1:41">
      <c r="A38" s="47">
        <f t="shared" si="8"/>
        <v>2061</v>
      </c>
      <c r="B38" s="45">
        <f t="shared" si="4"/>
        <v>10121534.705385689</v>
      </c>
      <c r="C38" s="46">
        <f t="shared" si="5"/>
        <v>1786153.1833033573</v>
      </c>
      <c r="D38" s="45">
        <f t="shared" si="6"/>
        <v>10034552.95408608</v>
      </c>
      <c r="E38" s="46">
        <f t="shared" si="7"/>
        <v>1770803.4624857781</v>
      </c>
      <c r="F38" s="45">
        <f t="shared" si="0"/>
        <v>86981.751299608499</v>
      </c>
      <c r="G38" s="48">
        <f t="shared" si="1"/>
        <v>15349.720817579189</v>
      </c>
      <c r="H38" s="49">
        <f t="shared" si="2"/>
        <v>3612961.0037318817</v>
      </c>
      <c r="I38" s="375">
        <f>H38*NPV!C41</f>
        <v>1132489.0024456906</v>
      </c>
      <c r="J38" s="311"/>
      <c r="K38" s="311"/>
      <c r="L38" s="311"/>
      <c r="M38" s="311"/>
      <c r="N38" s="473"/>
      <c r="O38" s="477"/>
      <c r="P38" s="477"/>
      <c r="Q38" s="479"/>
      <c r="R38" s="311"/>
      <c r="S38" s="311"/>
      <c r="T38" s="311"/>
      <c r="U38" s="311"/>
      <c r="V38" s="311"/>
      <c r="W38" s="311"/>
      <c r="X38" s="311"/>
      <c r="Y38" s="311"/>
      <c r="Z38" s="311"/>
      <c r="AA38" s="311"/>
      <c r="AB38" s="311"/>
      <c r="AC38" s="311"/>
      <c r="AD38" s="311"/>
      <c r="AE38" s="311"/>
    </row>
    <row r="39" spans="1:41">
      <c r="A39" s="47">
        <f t="shared" si="8"/>
        <v>2062</v>
      </c>
      <c r="B39" s="45">
        <f t="shared" si="4"/>
        <v>10273357.725966472</v>
      </c>
      <c r="C39" s="46">
        <f t="shared" si="5"/>
        <v>1812945.4810529074</v>
      </c>
      <c r="D39" s="45">
        <f t="shared" si="6"/>
        <v>10185071.248397373</v>
      </c>
      <c r="E39" s="46">
        <f t="shared" si="7"/>
        <v>1797365.5144230647</v>
      </c>
      <c r="F39" s="45">
        <f t="shared" si="0"/>
        <v>88286.477569099516</v>
      </c>
      <c r="G39" s="48">
        <f t="shared" si="1"/>
        <v>15579.966629842762</v>
      </c>
      <c r="H39" s="49">
        <f t="shared" si="2"/>
        <v>3667155.4187877462</v>
      </c>
      <c r="I39" s="375">
        <f>H39*NPV!C42</f>
        <v>1114914.0033776339</v>
      </c>
      <c r="J39" s="311"/>
      <c r="K39" s="311"/>
      <c r="L39" s="311"/>
      <c r="M39" s="311"/>
      <c r="N39" s="473"/>
      <c r="O39" s="477"/>
      <c r="P39" s="477"/>
      <c r="Q39" s="479"/>
      <c r="R39" s="311"/>
      <c r="S39" s="311"/>
      <c r="T39" s="311"/>
      <c r="U39" s="311"/>
      <c r="V39" s="311"/>
      <c r="W39" s="311"/>
      <c r="X39" s="311"/>
      <c r="Y39" s="311"/>
      <c r="Z39" s="311"/>
      <c r="AA39" s="311"/>
      <c r="AB39" s="311"/>
      <c r="AC39" s="311"/>
      <c r="AD39" s="311"/>
      <c r="AE39" s="311"/>
    </row>
    <row r="40" spans="1:41" ht="13.5" thickBot="1">
      <c r="A40" s="60">
        <f t="shared" si="8"/>
        <v>2063</v>
      </c>
      <c r="B40" s="61">
        <f t="shared" si="4"/>
        <v>10427458.091855969</v>
      </c>
      <c r="C40" s="297">
        <f t="shared" si="5"/>
        <v>1840139.6632687009</v>
      </c>
      <c r="D40" s="61">
        <f t="shared" si="6"/>
        <v>10337847.317123331</v>
      </c>
      <c r="E40" s="297">
        <f t="shared" si="7"/>
        <v>1824325.9971394103</v>
      </c>
      <c r="F40" s="45">
        <f t="shared" si="0"/>
        <v>89610.77473263815</v>
      </c>
      <c r="G40" s="48">
        <f t="shared" si="1"/>
        <v>15813.666129290592</v>
      </c>
      <c r="H40" s="53">
        <f t="shared" si="2"/>
        <v>3722162.7500696448</v>
      </c>
      <c r="I40" s="375">
        <f>H40*NPV!C43</f>
        <v>1097611.7492030296</v>
      </c>
      <c r="J40" s="311"/>
      <c r="K40" s="311"/>
      <c r="L40" s="311"/>
      <c r="M40" s="311"/>
      <c r="N40" s="473"/>
      <c r="O40" s="477"/>
      <c r="P40" s="477"/>
      <c r="Q40" s="479"/>
      <c r="R40" s="311"/>
      <c r="S40" s="311"/>
      <c r="T40" s="311"/>
      <c r="U40" s="311"/>
      <c r="V40" s="311"/>
      <c r="W40" s="311"/>
      <c r="X40" s="311"/>
      <c r="Y40" s="311"/>
      <c r="Z40" s="311"/>
      <c r="AA40" s="311"/>
      <c r="AB40" s="311"/>
      <c r="AC40" s="311"/>
      <c r="AD40" s="311"/>
      <c r="AE40" s="311"/>
    </row>
    <row r="41" spans="1:41" ht="13.5" thickTop="1">
      <c r="A41" s="328"/>
      <c r="B41" s="328"/>
      <c r="C41" s="328"/>
      <c r="D41" s="318"/>
      <c r="E41" s="333"/>
      <c r="F41" s="737" t="s">
        <v>51</v>
      </c>
      <c r="G41" s="738"/>
      <c r="H41" s="54">
        <f>SUM(H11:H40)</f>
        <v>90403933.312939435</v>
      </c>
      <c r="I41" s="298">
        <f>SUM(I11:I40)</f>
        <v>41550825.418935902</v>
      </c>
      <c r="J41" s="311"/>
      <c r="K41" s="311"/>
      <c r="L41" s="311"/>
      <c r="M41" s="311"/>
      <c r="N41" s="477"/>
      <c r="O41" s="311"/>
      <c r="P41" s="477"/>
      <c r="Q41" s="311"/>
      <c r="R41" s="311"/>
      <c r="S41" s="311"/>
      <c r="T41" s="311"/>
      <c r="U41" s="311"/>
      <c r="V41" s="311"/>
      <c r="W41" s="311"/>
      <c r="X41" s="311"/>
      <c r="Y41" s="311"/>
      <c r="Z41" s="311"/>
      <c r="AA41" s="311"/>
      <c r="AB41" s="311"/>
      <c r="AC41" s="311"/>
      <c r="AD41" s="311"/>
      <c r="AE41" s="311"/>
    </row>
    <row r="42" spans="1:41" ht="18">
      <c r="A42" s="330" t="s">
        <v>58</v>
      </c>
      <c r="B42" s="311"/>
      <c r="C42" s="311"/>
      <c r="D42" s="311"/>
      <c r="E42" s="311"/>
      <c r="F42" s="323"/>
      <c r="G42" s="323"/>
      <c r="H42" s="311"/>
      <c r="I42" s="311"/>
      <c r="J42" s="311"/>
      <c r="K42" s="311"/>
      <c r="L42" s="311"/>
      <c r="M42" s="311"/>
      <c r="N42" s="329"/>
      <c r="O42" s="311"/>
      <c r="P42" s="311"/>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row>
    <row r="43" spans="1:41">
      <c r="A43" s="326"/>
      <c r="B43" s="311"/>
      <c r="C43" s="311"/>
      <c r="D43" s="311"/>
      <c r="E43" s="311"/>
      <c r="F43" s="311"/>
      <c r="G43" s="311"/>
      <c r="H43" s="311"/>
      <c r="I43" s="311"/>
      <c r="J43" s="477"/>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row>
    <row r="44" spans="1:41" ht="13.35" customHeight="1">
      <c r="A44" s="733" t="s">
        <v>76</v>
      </c>
      <c r="B44" s="619" t="s">
        <v>105</v>
      </c>
      <c r="C44" s="621"/>
      <c r="D44" s="619" t="s">
        <v>106</v>
      </c>
      <c r="E44" s="621"/>
      <c r="F44" s="742" t="s">
        <v>141</v>
      </c>
      <c r="G44" s="743"/>
      <c r="H44" s="734" t="s">
        <v>142</v>
      </c>
      <c r="I44" s="734" t="s">
        <v>267</v>
      </c>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row>
    <row r="45" spans="1:41" ht="26.45" customHeight="1">
      <c r="A45" s="733"/>
      <c r="B45" s="723" t="s">
        <v>268</v>
      </c>
      <c r="C45" s="725"/>
      <c r="D45" s="723" t="s">
        <v>268</v>
      </c>
      <c r="E45" s="725"/>
      <c r="F45" s="744"/>
      <c r="G45" s="745"/>
      <c r="H45" s="735"/>
      <c r="I45" s="735"/>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row>
    <row r="46" spans="1:41" ht="13.5" thickBot="1">
      <c r="A46" s="733"/>
      <c r="B46" s="547" t="s">
        <v>170</v>
      </c>
      <c r="C46" s="547" t="s">
        <v>114</v>
      </c>
      <c r="D46" s="547" t="s">
        <v>170</v>
      </c>
      <c r="E46" s="547" t="s">
        <v>114</v>
      </c>
      <c r="F46" s="547" t="s">
        <v>170</v>
      </c>
      <c r="G46" s="547" t="s">
        <v>114</v>
      </c>
      <c r="H46" s="736"/>
      <c r="I46" s="736"/>
      <c r="J46" s="311"/>
      <c r="K46" s="325"/>
      <c r="L46" s="325"/>
      <c r="M46" s="325"/>
      <c r="N46" s="325"/>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row>
    <row r="47" spans="1:41" ht="13.5" thickTop="1">
      <c r="A47" s="47">
        <v>2034</v>
      </c>
      <c r="B47" s="45">
        <f>E82</f>
        <v>307708294.83072907</v>
      </c>
      <c r="C47" s="46">
        <f>D82</f>
        <v>54301463.793658063</v>
      </c>
      <c r="D47" s="45">
        <f t="shared" ref="D47:D68" si="9">I82</f>
        <v>305815478.29164183</v>
      </c>
      <c r="E47" s="46">
        <f t="shared" ref="E47:E68" si="10">H82</f>
        <v>53967437.345583864</v>
      </c>
      <c r="F47" s="45">
        <f>B47-D47</f>
        <v>1892816.5390872359</v>
      </c>
      <c r="G47" s="48">
        <f>C47-E47</f>
        <v>334026.44807419926</v>
      </c>
      <c r="H47" s="49">
        <f t="shared" ref="H47:H76" si="11">F47*$A$145+G47*$A$144</f>
        <v>1484190.8509430853</v>
      </c>
      <c r="I47" s="391">
        <f>H47*NPV!C14</f>
        <v>1060826.6756370063</v>
      </c>
      <c r="J47" s="392"/>
      <c r="K47" s="393"/>
      <c r="L47" s="325"/>
      <c r="M47" s="325"/>
      <c r="N47" s="325"/>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row>
    <row r="48" spans="1:41">
      <c r="A48" s="47">
        <f t="shared" ref="A48:A76" si="12">A47+1</f>
        <v>2035</v>
      </c>
      <c r="B48" s="45">
        <f t="shared" ref="B48:B76" si="13">E83</f>
        <v>312394207.94997877</v>
      </c>
      <c r="C48" s="46">
        <f t="shared" ref="C48:C76" si="14">D83</f>
        <v>55128389.638231538</v>
      </c>
      <c r="D48" s="45">
        <f t="shared" si="9"/>
        <v>310472566.79354501</v>
      </c>
      <c r="E48" s="46">
        <f t="shared" si="10"/>
        <v>54789276.492978543</v>
      </c>
      <c r="F48" s="45">
        <f t="shared" ref="F48:F70" si="15">B48-D48</f>
        <v>1921641.1564337611</v>
      </c>
      <c r="G48" s="48">
        <f t="shared" ref="G48:G70" si="16">C48-E48</f>
        <v>339113.14525299519</v>
      </c>
      <c r="H48" s="49">
        <f t="shared" si="11"/>
        <v>1506792.7420742102</v>
      </c>
      <c r="I48" s="391">
        <f>H48*NPV!C15</f>
        <v>1044598.8327699336</v>
      </c>
      <c r="J48" s="392"/>
      <c r="K48" s="393"/>
      <c r="L48" s="323"/>
      <c r="M48" s="325"/>
      <c r="N48" s="325"/>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row>
    <row r="49" spans="1:41">
      <c r="A49" s="47">
        <f t="shared" si="12"/>
        <v>2036</v>
      </c>
      <c r="B49" s="45">
        <f t="shared" si="13"/>
        <v>317151480.15226269</v>
      </c>
      <c r="C49" s="46">
        <f t="shared" si="14"/>
        <v>55967908.262163997</v>
      </c>
      <c r="D49" s="45">
        <f t="shared" si="9"/>
        <v>315200575.42491883</v>
      </c>
      <c r="E49" s="46">
        <f t="shared" si="10"/>
        <v>55623630.957338624</v>
      </c>
      <c r="F49" s="45">
        <f t="shared" si="15"/>
        <v>1950904.7273438573</v>
      </c>
      <c r="G49" s="48">
        <f t="shared" si="16"/>
        <v>344277.30482537299</v>
      </c>
      <c r="H49" s="49">
        <f t="shared" si="11"/>
        <v>1529738.8244407838</v>
      </c>
      <c r="I49" s="391">
        <f>H49*NPV!C16</f>
        <v>1028619.2329854779</v>
      </c>
      <c r="J49" s="392"/>
      <c r="K49" s="393"/>
      <c r="L49" s="325"/>
      <c r="M49" s="325"/>
      <c r="N49" s="325"/>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row>
    <row r="50" spans="1:41">
      <c r="A50" s="47">
        <f t="shared" si="12"/>
        <v>2037</v>
      </c>
      <c r="B50" s="45">
        <f t="shared" si="13"/>
        <v>321981198.12412459</v>
      </c>
      <c r="C50" s="46">
        <f t="shared" si="14"/>
        <v>56820211.433669031</v>
      </c>
      <c r="D50" s="45">
        <f t="shared" si="9"/>
        <v>320000584.18773484</v>
      </c>
      <c r="E50" s="46">
        <f t="shared" si="10"/>
        <v>56470691.327247337</v>
      </c>
      <c r="F50" s="45">
        <f t="shared" si="15"/>
        <v>1980613.9363897443</v>
      </c>
      <c r="G50" s="48">
        <f t="shared" si="16"/>
        <v>349520.10642169416</v>
      </c>
      <c r="H50" s="49">
        <f t="shared" si="11"/>
        <v>1553034.3395338084</v>
      </c>
      <c r="I50" s="391">
        <f>H50*NPV!C17</f>
        <v>1012884.0788210054</v>
      </c>
      <c r="J50" s="392"/>
      <c r="K50" s="393"/>
      <c r="L50" s="325"/>
      <c r="M50" s="325"/>
      <c r="N50" s="325"/>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row>
    <row r="51" spans="1:41">
      <c r="A51" s="47">
        <f t="shared" si="12"/>
        <v>2038</v>
      </c>
      <c r="B51" s="45">
        <f t="shared" si="13"/>
        <v>326884465.1006341</v>
      </c>
      <c r="C51" s="46">
        <f t="shared" si="14"/>
        <v>57685493.841288358</v>
      </c>
      <c r="D51" s="45">
        <f t="shared" si="9"/>
        <v>324873689.53069526</v>
      </c>
      <c r="E51" s="46">
        <f t="shared" si="10"/>
        <v>57330651.093652122</v>
      </c>
      <c r="F51" s="45">
        <f t="shared" si="15"/>
        <v>2010775.5699388385</v>
      </c>
      <c r="G51" s="48">
        <f t="shared" si="16"/>
        <v>354842.74763623625</v>
      </c>
      <c r="H51" s="49">
        <f t="shared" si="11"/>
        <v>1576684.6086637697</v>
      </c>
      <c r="I51" s="391">
        <f>H51*NPV!C18</f>
        <v>997389.63090490096</v>
      </c>
      <c r="J51" s="392"/>
      <c r="K51" s="393"/>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row>
    <row r="52" spans="1:41">
      <c r="A52" s="47">
        <f t="shared" si="12"/>
        <v>2039</v>
      </c>
      <c r="B52" s="45">
        <f t="shared" si="13"/>
        <v>331862401.11739498</v>
      </c>
      <c r="C52" s="46">
        <f t="shared" si="14"/>
        <v>58563953.138363816</v>
      </c>
      <c r="D52" s="45">
        <f t="shared" si="9"/>
        <v>329821004.59969062</v>
      </c>
      <c r="E52" s="46">
        <f t="shared" si="10"/>
        <v>58203706.694063067</v>
      </c>
      <c r="F52" s="45">
        <f t="shared" si="15"/>
        <v>2041396.5177043676</v>
      </c>
      <c r="G52" s="48">
        <f t="shared" si="16"/>
        <v>360246.44430074841</v>
      </c>
      <c r="H52" s="49">
        <f t="shared" si="11"/>
        <v>1600695.0341763964</v>
      </c>
      <c r="I52" s="391">
        <f>H52*NPV!C19</f>
        <v>982132.20706808602</v>
      </c>
      <c r="J52" s="392"/>
      <c r="K52" s="393"/>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row>
    <row r="53" spans="1:41">
      <c r="A53" s="47">
        <f t="shared" si="12"/>
        <v>2040</v>
      </c>
      <c r="B53" s="45">
        <f t="shared" si="13"/>
        <v>336916143.26639092</v>
      </c>
      <c r="C53" s="46">
        <f t="shared" si="14"/>
        <v>59455789.988186613</v>
      </c>
      <c r="D53" s="45">
        <f t="shared" si="9"/>
        <v>334843659.49207175</v>
      </c>
      <c r="E53" s="46">
        <f t="shared" si="10"/>
        <v>59090057.557424434</v>
      </c>
      <c r="F53" s="45">
        <f t="shared" si="15"/>
        <v>2072483.7743191719</v>
      </c>
      <c r="G53" s="48">
        <f t="shared" si="16"/>
        <v>365732.4307621792</v>
      </c>
      <c r="H53" s="49">
        <f t="shared" si="11"/>
        <v>1625071.100686704</v>
      </c>
      <c r="I53" s="391">
        <f>H53*NPV!C20</f>
        <v>967108.18146896991</v>
      </c>
      <c r="J53" s="392"/>
      <c r="K53" s="393"/>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row>
    <row r="54" spans="1:41">
      <c r="A54" s="47">
        <f t="shared" si="12"/>
        <v>2041</v>
      </c>
      <c r="B54" s="45">
        <f t="shared" si="13"/>
        <v>342046845.95572674</v>
      </c>
      <c r="C54" s="46">
        <f t="shared" si="14"/>
        <v>60361208.109834127</v>
      </c>
      <c r="D54" s="45">
        <f t="shared" si="9"/>
        <v>339942801.51479369</v>
      </c>
      <c r="E54" s="46">
        <f t="shared" si="10"/>
        <v>59989906.149669476</v>
      </c>
      <c r="F54" s="45">
        <f t="shared" si="15"/>
        <v>2104044.4409330487</v>
      </c>
      <c r="G54" s="48">
        <f t="shared" si="16"/>
        <v>371301.96016465127</v>
      </c>
      <c r="H54" s="49">
        <f t="shared" si="11"/>
        <v>1649818.3763316143</v>
      </c>
      <c r="I54" s="391">
        <f>H54*NPV!C21</f>
        <v>952313.98373166064</v>
      </c>
      <c r="J54" s="392"/>
      <c r="K54" s="393"/>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row>
    <row r="55" spans="1:41">
      <c r="A55" s="47">
        <f t="shared" si="12"/>
        <v>2042</v>
      </c>
      <c r="B55" s="45">
        <f t="shared" si="13"/>
        <v>347255681.17332667</v>
      </c>
      <c r="C55" s="46">
        <f t="shared" si="14"/>
        <v>61280414.324704699</v>
      </c>
      <c r="D55" s="45">
        <f t="shared" si="9"/>
        <v>345119595.44649112</v>
      </c>
      <c r="E55" s="46">
        <f t="shared" si="10"/>
        <v>60903458.019969009</v>
      </c>
      <c r="F55" s="45">
        <f t="shared" si="15"/>
        <v>2136085.7268355489</v>
      </c>
      <c r="G55" s="48">
        <f t="shared" si="16"/>
        <v>376956.30473569036</v>
      </c>
      <c r="H55" s="49">
        <f t="shared" si="11"/>
        <v>1674942.5140422343</v>
      </c>
      <c r="I55" s="391">
        <f>H55*NPV!C22</f>
        <v>937746.09809770505</v>
      </c>
      <c r="J55" s="392"/>
      <c r="K55" s="393"/>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row>
    <row r="56" spans="1:41">
      <c r="A56" s="47">
        <f t="shared" si="12"/>
        <v>2043</v>
      </c>
      <c r="B56" s="45">
        <f t="shared" si="13"/>
        <v>352543838.75464636</v>
      </c>
      <c r="C56" s="46">
        <f t="shared" si="14"/>
        <v>62213618.603761114</v>
      </c>
      <c r="D56" s="45">
        <f t="shared" si="9"/>
        <v>350375223.80354428</v>
      </c>
      <c r="E56" s="46">
        <f t="shared" si="10"/>
        <v>61830921.847684272</v>
      </c>
      <c r="F56" s="45">
        <f t="shared" si="15"/>
        <v>2168614.951102078</v>
      </c>
      <c r="G56" s="48">
        <f t="shared" si="16"/>
        <v>382696.75607684255</v>
      </c>
      <c r="H56" s="49">
        <f t="shared" si="11"/>
        <v>1700449.2528347536</v>
      </c>
      <c r="I56" s="391">
        <f>H56*NPV!C23</f>
        <v>923401.06259036274</v>
      </c>
      <c r="J56" s="392"/>
      <c r="K56" s="393"/>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row>
    <row r="57" spans="1:41">
      <c r="A57" s="47">
        <f t="shared" si="12"/>
        <v>2044</v>
      </c>
      <c r="B57" s="45">
        <f t="shared" si="13"/>
        <v>357912526.65446329</v>
      </c>
      <c r="C57" s="46">
        <f t="shared" si="14"/>
        <v>63161034.115493521</v>
      </c>
      <c r="D57" s="45">
        <f t="shared" si="9"/>
        <v>355710887.11019719</v>
      </c>
      <c r="E57" s="46">
        <f t="shared" si="10"/>
        <v>62772509.490034796</v>
      </c>
      <c r="F57" s="45">
        <f t="shared" si="15"/>
        <v>2201639.5442661047</v>
      </c>
      <c r="G57" s="48">
        <f t="shared" si="16"/>
        <v>388524.6254587248</v>
      </c>
      <c r="H57" s="49">
        <f t="shared" si="11"/>
        <v>1726344.4191215993</v>
      </c>
      <c r="I57" s="391">
        <f>H57*NPV!C24</f>
        <v>909275.46819201158</v>
      </c>
      <c r="J57" s="392"/>
      <c r="K57" s="393"/>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c r="AI57" s="311"/>
      <c r="AJ57" s="311"/>
      <c r="AK57" s="311"/>
      <c r="AL57" s="311"/>
      <c r="AM57" s="311"/>
      <c r="AN57" s="311"/>
      <c r="AO57" s="311"/>
    </row>
    <row r="58" spans="1:41">
      <c r="A58" s="47">
        <f t="shared" si="12"/>
        <v>2045</v>
      </c>
      <c r="B58" s="45">
        <f t="shared" si="13"/>
        <v>363362971.22280538</v>
      </c>
      <c r="C58" s="46">
        <f t="shared" si="14"/>
        <v>64122877.27461271</v>
      </c>
      <c r="D58" s="45">
        <f t="shared" si="9"/>
        <v>361127804.17278898</v>
      </c>
      <c r="E58" s="46">
        <f t="shared" si="10"/>
        <v>63728436.030492179</v>
      </c>
      <c r="F58" s="45">
        <f t="shared" si="15"/>
        <v>2235167.0500164032</v>
      </c>
      <c r="G58" s="48">
        <f t="shared" si="16"/>
        <v>394441.24412053078</v>
      </c>
      <c r="H58" s="49">
        <f t="shared" si="11"/>
        <v>1752633.92804226</v>
      </c>
      <c r="I58" s="391">
        <f>H58*NPV!C25</f>
        <v>895365.95803396811</v>
      </c>
      <c r="J58" s="392"/>
      <c r="K58" s="393"/>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1"/>
      <c r="AN58" s="311"/>
      <c r="AO58" s="311"/>
    </row>
    <row r="59" spans="1:41">
      <c r="A59" s="47">
        <f t="shared" si="12"/>
        <v>2046</v>
      </c>
      <c r="B59" s="45">
        <f t="shared" si="13"/>
        <v>368896417.48508161</v>
      </c>
      <c r="C59" s="46">
        <f t="shared" si="14"/>
        <v>65099367.791484989</v>
      </c>
      <c r="D59" s="45">
        <f t="shared" si="9"/>
        <v>366627212.35816145</v>
      </c>
      <c r="E59" s="46">
        <f t="shared" si="10"/>
        <v>64698919.827910841</v>
      </c>
      <c r="F59" s="45">
        <f t="shared" si="15"/>
        <v>2269205.1269201636</v>
      </c>
      <c r="G59" s="48">
        <f t="shared" si="16"/>
        <v>400447.96357414871</v>
      </c>
      <c r="H59" s="49">
        <f t="shared" si="11"/>
        <v>1779323.7848144607</v>
      </c>
      <c r="I59" s="391">
        <f>H59*NPV!C26</f>
        <v>881669.22659874824</v>
      </c>
      <c r="J59" s="392"/>
      <c r="K59" s="393"/>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1"/>
    </row>
    <row r="60" spans="1:41">
      <c r="A60" s="47">
        <f t="shared" si="12"/>
        <v>2047</v>
      </c>
      <c r="B60" s="45">
        <f t="shared" si="13"/>
        <v>374514129.4264788</v>
      </c>
      <c r="C60" s="46">
        <f t="shared" si="14"/>
        <v>66090728.722319789</v>
      </c>
      <c r="D60" s="45">
        <f t="shared" si="9"/>
        <v>372210367.87630606</v>
      </c>
      <c r="E60" s="46">
        <f t="shared" si="10"/>
        <v>65684182.566406943</v>
      </c>
      <c r="F60" s="45">
        <f t="shared" si="15"/>
        <v>2303761.5501727462</v>
      </c>
      <c r="G60" s="48">
        <f t="shared" si="16"/>
        <v>406546.15591284633</v>
      </c>
      <c r="H60" s="49">
        <f t="shared" si="11"/>
        <v>1806420.0861060529</v>
      </c>
      <c r="I60" s="391">
        <f>H60*NPV!C27</f>
        <v>868182.01893460006</v>
      </c>
      <c r="J60" s="392"/>
      <c r="K60" s="393"/>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1"/>
    </row>
    <row r="61" spans="1:41">
      <c r="A61" s="47">
        <f t="shared" si="12"/>
        <v>2048</v>
      </c>
      <c r="B61" s="45">
        <f t="shared" si="13"/>
        <v>380217390.28068912</v>
      </c>
      <c r="C61" s="46">
        <f t="shared" si="14"/>
        <v>67097186.520121612</v>
      </c>
      <c r="D61" s="45">
        <f t="shared" si="9"/>
        <v>377878546.06731582</v>
      </c>
      <c r="E61" s="46">
        <f t="shared" si="10"/>
        <v>66684449.305996895</v>
      </c>
      <c r="F61" s="45">
        <f t="shared" si="15"/>
        <v>2338844.2133733034</v>
      </c>
      <c r="G61" s="48">
        <f t="shared" si="16"/>
        <v>412737.21412471682</v>
      </c>
      <c r="H61" s="49">
        <f t="shared" si="11"/>
        <v>1833929.0214274405</v>
      </c>
      <c r="I61" s="391">
        <f>H61*NPV!C28</f>
        <v>854901.12988187361</v>
      </c>
      <c r="J61" s="392"/>
      <c r="K61" s="393"/>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1"/>
    </row>
    <row r="62" spans="1:41">
      <c r="A62" s="47">
        <f t="shared" si="12"/>
        <v>2049</v>
      </c>
      <c r="B62" s="45">
        <f t="shared" si="13"/>
        <v>386007502.82303464</v>
      </c>
      <c r="C62" s="46">
        <f t="shared" si="14"/>
        <v>68118971.086417884</v>
      </c>
      <c r="D62" s="45">
        <f t="shared" si="9"/>
        <v>383633041.69270641</v>
      </c>
      <c r="E62" s="46">
        <f t="shared" si="10"/>
        <v>67699948.534006998</v>
      </c>
      <c r="F62" s="45">
        <f t="shared" si="15"/>
        <v>2374461.130328238</v>
      </c>
      <c r="G62" s="48">
        <f t="shared" si="16"/>
        <v>419022.55241088569</v>
      </c>
      <c r="H62" s="49">
        <f t="shared" si="11"/>
        <v>1861856.8745456382</v>
      </c>
      <c r="I62" s="391">
        <f>H62*NPV!C29</f>
        <v>841823.40331143676</v>
      </c>
      <c r="J62" s="392"/>
      <c r="K62" s="393"/>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1"/>
    </row>
    <row r="63" spans="1:41">
      <c r="A63" s="47">
        <f t="shared" si="12"/>
        <v>2050</v>
      </c>
      <c r="B63" s="45">
        <f t="shared" si="13"/>
        <v>391885789.66805547</v>
      </c>
      <c r="C63" s="46">
        <f t="shared" si="14"/>
        <v>69156315.823774502</v>
      </c>
      <c r="D63" s="45">
        <f t="shared" si="9"/>
        <v>389475169.23117399</v>
      </c>
      <c r="E63" s="46">
        <f t="shared" si="10"/>
        <v>68730912.217265993</v>
      </c>
      <c r="F63" s="45">
        <f t="shared" si="15"/>
        <v>2410620.4368814826</v>
      </c>
      <c r="G63" s="48">
        <f t="shared" si="16"/>
        <v>425403.60650850832</v>
      </c>
      <c r="H63" s="49">
        <f t="shared" si="11"/>
        <v>1890210.0249194361</v>
      </c>
      <c r="I63" s="391">
        <f>H63*NPV!C30</f>
        <v>828945.73137453618</v>
      </c>
      <c r="J63" s="392"/>
      <c r="K63" s="393"/>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1"/>
    </row>
    <row r="64" spans="1:41">
      <c r="A64" s="47">
        <f t="shared" si="12"/>
        <v>2051</v>
      </c>
      <c r="B64" s="45">
        <f t="shared" si="13"/>
        <v>397764076.51307631</v>
      </c>
      <c r="C64" s="46">
        <f t="shared" si="14"/>
        <v>70193660.56113112</v>
      </c>
      <c r="D64" s="45">
        <f t="shared" si="9"/>
        <v>395317296.76964158</v>
      </c>
      <c r="E64" s="46">
        <f t="shared" si="10"/>
        <v>69761875.900524974</v>
      </c>
      <c r="F64" s="45">
        <f t="shared" si="15"/>
        <v>2446779.7434347272</v>
      </c>
      <c r="G64" s="48">
        <f t="shared" si="16"/>
        <v>431784.66060614586</v>
      </c>
      <c r="H64" s="49">
        <f t="shared" si="11"/>
        <v>1918563.1752932526</v>
      </c>
      <c r="I64" s="391">
        <f>H64*NPV!C31</f>
        <v>816081.39412722131</v>
      </c>
      <c r="J64" s="392"/>
      <c r="K64" s="393"/>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311"/>
      <c r="AN64" s="311"/>
      <c r="AO64" s="311"/>
    </row>
    <row r="65" spans="1:41">
      <c r="A65" s="47">
        <f t="shared" si="12"/>
        <v>2052</v>
      </c>
      <c r="B65" s="45">
        <f t="shared" si="13"/>
        <v>403730537.66077232</v>
      </c>
      <c r="C65" s="46">
        <f t="shared" si="14"/>
        <v>71246565.469548076</v>
      </c>
      <c r="D65" s="45">
        <f t="shared" si="9"/>
        <v>401247056.22118616</v>
      </c>
      <c r="E65" s="46">
        <f t="shared" si="10"/>
        <v>70808304.039032847</v>
      </c>
      <c r="F65" s="45">
        <f t="shared" si="15"/>
        <v>2483481.4395861626</v>
      </c>
      <c r="G65" s="48">
        <f t="shared" si="16"/>
        <v>438261.4305152297</v>
      </c>
      <c r="H65" s="49">
        <f t="shared" si="11"/>
        <v>1947341.622922593</v>
      </c>
      <c r="I65" s="391">
        <f>H65*NPV!C32</f>
        <v>803416.69741911232</v>
      </c>
      <c r="J65" s="392"/>
      <c r="K65" s="393"/>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311"/>
      <c r="AJ65" s="311"/>
      <c r="AK65" s="311"/>
      <c r="AL65" s="311"/>
      <c r="AM65" s="311"/>
      <c r="AN65" s="311"/>
      <c r="AO65" s="311"/>
    </row>
    <row r="66" spans="1:41">
      <c r="A66" s="47">
        <f t="shared" si="12"/>
        <v>2053</v>
      </c>
      <c r="B66" s="45">
        <f t="shared" si="13"/>
        <v>409786495.72568387</v>
      </c>
      <c r="C66" s="46">
        <f t="shared" si="14"/>
        <v>72315263.951591298</v>
      </c>
      <c r="D66" s="45">
        <f t="shared" si="9"/>
        <v>407265762.06450391</v>
      </c>
      <c r="E66" s="46">
        <f t="shared" si="10"/>
        <v>71870428.599618331</v>
      </c>
      <c r="F66" s="45">
        <f t="shared" si="15"/>
        <v>2520733.6611799598</v>
      </c>
      <c r="G66" s="48">
        <f t="shared" si="16"/>
        <v>444835.35197296739</v>
      </c>
      <c r="H66" s="49">
        <f t="shared" si="11"/>
        <v>1976551.7472664462</v>
      </c>
      <c r="I66" s="391">
        <f>H66*NPV!C33</f>
        <v>790948.54304597958</v>
      </c>
      <c r="J66" s="392"/>
      <c r="K66" s="393"/>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c r="AI66" s="311"/>
      <c r="AJ66" s="311"/>
      <c r="AK66" s="311"/>
      <c r="AL66" s="311"/>
      <c r="AM66" s="311"/>
      <c r="AN66" s="311"/>
      <c r="AO66" s="311"/>
    </row>
    <row r="67" spans="1:41">
      <c r="A67" s="47">
        <f t="shared" si="12"/>
        <v>2054</v>
      </c>
      <c r="B67" s="45">
        <f t="shared" si="13"/>
        <v>415933293.16156912</v>
      </c>
      <c r="C67" s="46">
        <f t="shared" si="14"/>
        <v>73399992.910865158</v>
      </c>
      <c r="D67" s="45">
        <f t="shared" si="9"/>
        <v>413374748.49547136</v>
      </c>
      <c r="E67" s="46">
        <f t="shared" si="10"/>
        <v>72948485.028612599</v>
      </c>
      <c r="F67" s="45">
        <f t="shared" si="15"/>
        <v>2558544.6660977602</v>
      </c>
      <c r="G67" s="48">
        <f t="shared" si="16"/>
        <v>451507.88225255907</v>
      </c>
      <c r="H67" s="49">
        <f t="shared" si="11"/>
        <v>2006200.0234754959</v>
      </c>
      <c r="I67" s="391">
        <f>H67*NPV!C34</f>
        <v>778673.88088427798</v>
      </c>
      <c r="J67" s="392"/>
      <c r="K67" s="393"/>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1"/>
      <c r="AN67" s="311"/>
      <c r="AO67" s="311"/>
    </row>
    <row r="68" spans="1:41">
      <c r="A68" s="47">
        <f t="shared" si="12"/>
        <v>2055</v>
      </c>
      <c r="B68" s="45">
        <f t="shared" si="13"/>
        <v>422172292.55899262</v>
      </c>
      <c r="C68" s="46">
        <f t="shared" si="14"/>
        <v>74500992.804528132</v>
      </c>
      <c r="D68" s="45">
        <f t="shared" si="9"/>
        <v>419575369.72290337</v>
      </c>
      <c r="E68" s="46">
        <f t="shared" si="10"/>
        <v>74042712.304041788</v>
      </c>
      <c r="F68" s="45">
        <f t="shared" si="15"/>
        <v>2596922.8360892534</v>
      </c>
      <c r="G68" s="48">
        <f t="shared" si="16"/>
        <v>458280.5004863441</v>
      </c>
      <c r="H68" s="49">
        <f t="shared" si="11"/>
        <v>2036293.0238276389</v>
      </c>
      <c r="I68" s="391">
        <f>H68*NPV!C35</f>
        <v>766589.70814504963</v>
      </c>
      <c r="J68" s="392"/>
      <c r="K68" s="393"/>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row>
    <row r="69" spans="1:41">
      <c r="A69" s="47">
        <f t="shared" si="12"/>
        <v>2056</v>
      </c>
      <c r="B69" s="45">
        <f t="shared" si="13"/>
        <v>428504876.9473775</v>
      </c>
      <c r="C69" s="46">
        <f t="shared" si="14"/>
        <v>75618507.696596041</v>
      </c>
      <c r="D69" s="45">
        <f>I104</f>
        <v>425869000.26874691</v>
      </c>
      <c r="E69" s="46">
        <f>H104</f>
        <v>75153352.988602415</v>
      </c>
      <c r="F69" s="45">
        <f t="shared" si="15"/>
        <v>2635876.6786305904</v>
      </c>
      <c r="G69" s="48">
        <f t="shared" si="16"/>
        <v>465154.70799362659</v>
      </c>
      <c r="H69" s="49">
        <f t="shared" si="11"/>
        <v>2066837.4191850366</v>
      </c>
      <c r="I69" s="391">
        <f>H69*NPV!C36</f>
        <v>754693.06863939785</v>
      </c>
      <c r="J69" s="392"/>
      <c r="K69" s="393"/>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row>
    <row r="70" spans="1:41">
      <c r="A70" s="47">
        <f t="shared" si="12"/>
        <v>2057</v>
      </c>
      <c r="B70" s="45">
        <f t="shared" si="13"/>
        <v>434932450.10158813</v>
      </c>
      <c r="C70" s="46">
        <f t="shared" si="14"/>
        <v>76752785.312044978</v>
      </c>
      <c r="D70" s="45">
        <f t="shared" ref="D70:D76" si="17">I105</f>
        <v>432257035.27277803</v>
      </c>
      <c r="E70" s="46">
        <f t="shared" ref="E70:E76" si="18">H105</f>
        <v>76280653.283431441</v>
      </c>
      <c r="F70" s="45">
        <f t="shared" si="15"/>
        <v>2675414.8288100958</v>
      </c>
      <c r="G70" s="48">
        <f t="shared" si="16"/>
        <v>472132.02861353755</v>
      </c>
      <c r="H70" s="49">
        <f t="shared" si="11"/>
        <v>2097839.9804728464</v>
      </c>
      <c r="I70" s="391">
        <f>H70*NPV!C37</f>
        <v>742981.05205528741</v>
      </c>
      <c r="J70" s="392"/>
      <c r="K70" s="393"/>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c r="AL70" s="311"/>
      <c r="AM70" s="311"/>
      <c r="AN70" s="311"/>
      <c r="AO70" s="311"/>
    </row>
    <row r="71" spans="1:41">
      <c r="A71" s="47">
        <f t="shared" si="12"/>
        <v>2058</v>
      </c>
      <c r="B71" s="45">
        <f t="shared" si="13"/>
        <v>441456436.85311192</v>
      </c>
      <c r="C71" s="46">
        <f t="shared" si="14"/>
        <v>77904077.091725647</v>
      </c>
      <c r="D71" s="45">
        <f t="shared" si="17"/>
        <v>438740890.80186969</v>
      </c>
      <c r="E71" s="46">
        <f t="shared" si="18"/>
        <v>77424863.082682908</v>
      </c>
      <c r="F71" s="45">
        <f t="shared" ref="F71:F76" si="19">B71-D71</f>
        <v>2715546.0512422323</v>
      </c>
      <c r="G71" s="48">
        <f t="shared" ref="G71:G75" si="20">C71-E71</f>
        <v>479214.00904273987</v>
      </c>
      <c r="H71" s="49">
        <f t="shared" si="11"/>
        <v>2129307.5801799297</v>
      </c>
      <c r="I71" s="391">
        <f>H71*NPV!C38</f>
        <v>731450.79324550286</v>
      </c>
      <c r="J71" s="392"/>
      <c r="K71" s="393"/>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row>
    <row r="72" spans="1:41">
      <c r="A72" s="47">
        <f t="shared" si="12"/>
        <v>2059</v>
      </c>
      <c r="B72" s="45">
        <f t="shared" si="13"/>
        <v>448078283.40590858</v>
      </c>
      <c r="C72" s="46">
        <f t="shared" si="14"/>
        <v>79072638.248101518</v>
      </c>
      <c r="D72" s="45">
        <f t="shared" si="17"/>
        <v>445322004.16389769</v>
      </c>
      <c r="E72" s="46">
        <f t="shared" si="18"/>
        <v>78586236.028923139</v>
      </c>
      <c r="F72" s="45">
        <f t="shared" si="19"/>
        <v>2756279.2420108914</v>
      </c>
      <c r="G72" s="48">
        <f t="shared" si="20"/>
        <v>486402.21917837858</v>
      </c>
      <c r="H72" s="49">
        <f t="shared" si="11"/>
        <v>2161247.1938826405</v>
      </c>
      <c r="I72" s="391">
        <f>H72*NPV!C39</f>
        <v>720099.471526857</v>
      </c>
      <c r="J72" s="392"/>
      <c r="K72" s="393"/>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1"/>
      <c r="AO72" s="311"/>
    </row>
    <row r="73" spans="1:41">
      <c r="A73" s="47">
        <f t="shared" si="12"/>
        <v>2060</v>
      </c>
      <c r="B73" s="45">
        <f t="shared" si="13"/>
        <v>454799457.6569972</v>
      </c>
      <c r="C73" s="46">
        <f t="shared" si="14"/>
        <v>80258727.821823031</v>
      </c>
      <c r="D73" s="45">
        <f t="shared" si="17"/>
        <v>452001834.22635621</v>
      </c>
      <c r="E73" s="46">
        <f t="shared" si="18"/>
        <v>79765029.569356978</v>
      </c>
      <c r="F73" s="45">
        <f t="shared" si="19"/>
        <v>2797623.4306409955</v>
      </c>
      <c r="G73" s="48">
        <f t="shared" si="20"/>
        <v>493698.25246605277</v>
      </c>
      <c r="H73" s="49">
        <f t="shared" si="11"/>
        <v>2193665.9017908447</v>
      </c>
      <c r="I73" s="391">
        <f>H73*NPV!C40</f>
        <v>708924.30999005621</v>
      </c>
      <c r="J73" s="392"/>
      <c r="K73" s="393"/>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311"/>
    </row>
    <row r="74" spans="1:41">
      <c r="A74" s="47">
        <f t="shared" si="12"/>
        <v>2061</v>
      </c>
      <c r="B74" s="45">
        <f t="shared" si="13"/>
        <v>461621449.52185214</v>
      </c>
      <c r="C74" s="46">
        <f t="shared" si="14"/>
        <v>81462608.739150375</v>
      </c>
      <c r="D74" s="45">
        <f t="shared" si="17"/>
        <v>458781861.73975152</v>
      </c>
      <c r="E74" s="46">
        <f t="shared" si="18"/>
        <v>80961505.012897328</v>
      </c>
      <c r="F74" s="45">
        <f t="shared" si="19"/>
        <v>2839587.7821006179</v>
      </c>
      <c r="G74" s="48">
        <f t="shared" si="20"/>
        <v>501103.72625304759</v>
      </c>
      <c r="H74" s="49">
        <f t="shared" si="11"/>
        <v>2226570.8903177166</v>
      </c>
      <c r="I74" s="391">
        <f>H74*NPV!C41</f>
        <v>697922.57482047542</v>
      </c>
      <c r="J74" s="392"/>
      <c r="K74" s="393"/>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row>
    <row r="75" spans="1:41">
      <c r="A75" s="47">
        <f t="shared" si="12"/>
        <v>2062</v>
      </c>
      <c r="B75" s="45">
        <f t="shared" si="13"/>
        <v>468545771.26467991</v>
      </c>
      <c r="C75" s="46">
        <f t="shared" si="14"/>
        <v>82684547.870237619</v>
      </c>
      <c r="D75" s="45">
        <f t="shared" si="17"/>
        <v>465663589.66584778</v>
      </c>
      <c r="E75" s="46">
        <f t="shared" si="18"/>
        <v>82175927.588090777</v>
      </c>
      <c r="F75" s="45">
        <f t="shared" si="19"/>
        <v>2882181.5988321304</v>
      </c>
      <c r="G75" s="48">
        <f t="shared" si="20"/>
        <v>508620.28214684129</v>
      </c>
      <c r="H75" s="49">
        <f t="shared" si="11"/>
        <v>2259969.4536724817</v>
      </c>
      <c r="I75" s="391">
        <f>H75*NPV!C42</f>
        <v>687091.57462927501</v>
      </c>
      <c r="J75" s="392"/>
      <c r="K75" s="393"/>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1"/>
    </row>
    <row r="76" spans="1:41" ht="13.5" thickBot="1">
      <c r="A76" s="50">
        <f t="shared" si="12"/>
        <v>2063</v>
      </c>
      <c r="B76" s="51">
        <f t="shared" si="13"/>
        <v>475573957.83364999</v>
      </c>
      <c r="C76" s="52">
        <f t="shared" si="14"/>
        <v>83924816.088291168</v>
      </c>
      <c r="D76" s="51">
        <f t="shared" si="17"/>
        <v>472648543.51083541</v>
      </c>
      <c r="E76" s="52">
        <f t="shared" si="18"/>
        <v>83408566.501912132</v>
      </c>
      <c r="F76" s="51">
        <f t="shared" si="19"/>
        <v>2925414.3228145838</v>
      </c>
      <c r="G76" s="374">
        <f>C76-E76</f>
        <v>516249.58637903631</v>
      </c>
      <c r="H76" s="53">
        <f t="shared" si="11"/>
        <v>2293868.9954775432</v>
      </c>
      <c r="I76" s="391">
        <f>H76*NPV!C43</f>
        <v>676428.65979505947</v>
      </c>
      <c r="J76" s="392"/>
      <c r="K76" s="393"/>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311"/>
    </row>
    <row r="77" spans="1:41" ht="13.5" thickTop="1">
      <c r="A77" s="328"/>
      <c r="B77" s="325"/>
      <c r="C77" s="325"/>
      <c r="D77" s="328"/>
      <c r="E77" s="332"/>
      <c r="F77" s="737" t="s">
        <v>51</v>
      </c>
      <c r="G77" s="738"/>
      <c r="H77" s="54">
        <f>SUM(H47:H76)</f>
        <v>55866392.790468715</v>
      </c>
      <c r="I77" s="55">
        <f>SUM(I47:I76)</f>
        <v>25662484.64872583</v>
      </c>
      <c r="J77" s="311"/>
      <c r="K77" s="311"/>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1"/>
    </row>
    <row r="78" spans="1:41">
      <c r="A78" s="328"/>
      <c r="B78" s="325"/>
      <c r="C78" s="325"/>
      <c r="D78" s="325"/>
      <c r="E78" s="325"/>
      <c r="F78" s="328"/>
      <c r="G78" s="328"/>
      <c r="H78" s="328"/>
      <c r="I78" s="332"/>
      <c r="J78" s="334"/>
      <c r="K78" s="334"/>
      <c r="L78" s="333"/>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1"/>
    </row>
    <row r="79" spans="1:41">
      <c r="A79" s="311"/>
      <c r="B79" s="311"/>
      <c r="C79" s="311"/>
      <c r="D79" s="311"/>
      <c r="E79" s="311"/>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311"/>
    </row>
    <row r="80" spans="1:41">
      <c r="A80" s="547"/>
      <c r="B80" s="723" t="s">
        <v>269</v>
      </c>
      <c r="C80" s="724"/>
      <c r="D80" s="724"/>
      <c r="E80" s="725"/>
      <c r="F80" s="723" t="s">
        <v>270</v>
      </c>
      <c r="G80" s="724"/>
      <c r="H80" s="724"/>
      <c r="I80" s="725"/>
      <c r="J80" s="322"/>
      <c r="K80" s="547"/>
      <c r="L80" s="723" t="s">
        <v>271</v>
      </c>
      <c r="M80" s="724"/>
      <c r="N80" s="724"/>
      <c r="O80" s="725"/>
      <c r="P80" s="723" t="s">
        <v>272</v>
      </c>
      <c r="Q80" s="724"/>
      <c r="R80" s="724"/>
      <c r="S80" s="725"/>
      <c r="T80" s="311"/>
      <c r="U80" s="311"/>
      <c r="V80" s="311"/>
      <c r="W80" s="311"/>
      <c r="X80" s="311"/>
      <c r="Y80" s="311"/>
      <c r="Z80" s="311"/>
      <c r="AA80" s="311"/>
      <c r="AB80" s="311"/>
      <c r="AC80" s="311"/>
      <c r="AD80" s="311"/>
      <c r="AE80" s="311"/>
      <c r="AF80" s="311"/>
      <c r="AG80" s="311"/>
    </row>
    <row r="81" spans="1:33" ht="25.5">
      <c r="A81" s="547" t="s">
        <v>76</v>
      </c>
      <c r="B81" s="547" t="s">
        <v>273</v>
      </c>
      <c r="C81" s="547" t="s">
        <v>274</v>
      </c>
      <c r="D81" s="547" t="s">
        <v>275</v>
      </c>
      <c r="E81" s="547" t="s">
        <v>276</v>
      </c>
      <c r="F81" s="547" t="s">
        <v>273</v>
      </c>
      <c r="G81" s="547" t="s">
        <v>274</v>
      </c>
      <c r="H81" s="547" t="s">
        <v>275</v>
      </c>
      <c r="I81" s="547" t="s">
        <v>276</v>
      </c>
      <c r="J81" s="322"/>
      <c r="K81" s="547" t="s">
        <v>76</v>
      </c>
      <c r="L81" s="547" t="s">
        <v>277</v>
      </c>
      <c r="M81" s="547" t="s">
        <v>278</v>
      </c>
      <c r="N81" s="547" t="s">
        <v>279</v>
      </c>
      <c r="O81" s="547" t="s">
        <v>280</v>
      </c>
      <c r="P81" s="547" t="s">
        <v>277</v>
      </c>
      <c r="Q81" s="547" t="s">
        <v>278</v>
      </c>
      <c r="R81" s="547" t="s">
        <v>279</v>
      </c>
      <c r="S81" s="547" t="s">
        <v>280</v>
      </c>
      <c r="T81" s="311"/>
      <c r="U81" s="311"/>
      <c r="V81" s="311"/>
      <c r="W81" s="311"/>
      <c r="X81" s="311"/>
      <c r="Y81" s="311"/>
      <c r="Z81" s="311"/>
      <c r="AA81" s="311"/>
      <c r="AB81" s="311"/>
      <c r="AC81" s="311"/>
      <c r="AD81" s="311"/>
      <c r="AE81" s="311"/>
      <c r="AF81" s="311"/>
      <c r="AG81" s="311"/>
    </row>
    <row r="82" spans="1:33">
      <c r="A82" s="47">
        <v>2034</v>
      </c>
      <c r="B82" s="372">
        <f t="shared" ref="B82:B97" si="21">B83*(1-$B$137)</f>
        <v>991807.55787503324</v>
      </c>
      <c r="C82" s="59">
        <f>B82*365</f>
        <v>362009758.62438715</v>
      </c>
      <c r="D82" s="296">
        <f t="shared" ref="D82:D97" si="22">D83*(1-$B$137)</f>
        <v>54301463.793658063</v>
      </c>
      <c r="E82" s="59">
        <f>C82-D82</f>
        <v>307708294.83072907</v>
      </c>
      <c r="F82" s="372">
        <f t="shared" ref="F82:F97" si="23">F83*(1-$B$137)</f>
        <v>985706.61818418</v>
      </c>
      <c r="G82" s="59">
        <f>F82*365</f>
        <v>359782915.63722569</v>
      </c>
      <c r="H82" s="296">
        <f t="shared" ref="H82:H97" si="24">H83*(1-$B$137)</f>
        <v>53967437.345583864</v>
      </c>
      <c r="I82" s="59">
        <f>G82-H82</f>
        <v>305815478.29164183</v>
      </c>
      <c r="J82" s="335"/>
      <c r="K82" s="47">
        <v>2034</v>
      </c>
      <c r="L82" s="372">
        <f t="shared" ref="L82:L97" si="25">L83*(1-$B$137)</f>
        <v>21746.421507263109</v>
      </c>
      <c r="M82" s="59">
        <f>L82*365</f>
        <v>7937443.850151035</v>
      </c>
      <c r="N82" s="296">
        <f t="shared" ref="N82:N100" si="26">N83*(1-$B$137)</f>
        <v>1190616.5775226553</v>
      </c>
      <c r="O82" s="59">
        <f>M82-N82</f>
        <v>6746827.27262838</v>
      </c>
      <c r="P82" s="372">
        <f t="shared" ref="P82:P97" si="27">P83*(1-$B$137)</f>
        <v>21559.538600445154</v>
      </c>
      <c r="Q82" s="59">
        <f>P82*365</f>
        <v>7869231.589162481</v>
      </c>
      <c r="R82" s="296">
        <f t="shared" ref="R82:R97" si="28">R83*(1-$B$137)</f>
        <v>1180384.7383743722</v>
      </c>
      <c r="S82" s="59">
        <f>Q82-R82</f>
        <v>6688846.850788109</v>
      </c>
      <c r="T82" s="311"/>
      <c r="U82" s="311"/>
      <c r="V82" s="311"/>
      <c r="W82" s="311"/>
      <c r="X82" s="311"/>
      <c r="Y82" s="311"/>
      <c r="Z82" s="311"/>
      <c r="AA82" s="311"/>
      <c r="AB82" s="311"/>
      <c r="AC82" s="311"/>
      <c r="AD82" s="311"/>
      <c r="AE82" s="311"/>
      <c r="AF82" s="311"/>
      <c r="AG82" s="311"/>
    </row>
    <row r="83" spans="1:33">
      <c r="A83" s="47">
        <f>A82+1</f>
        <v>2035</v>
      </c>
      <c r="B83" s="372">
        <f t="shared" si="21"/>
        <v>1006911.2262690692</v>
      </c>
      <c r="C83" s="59">
        <f t="shared" ref="C83:C111" si="29">B83*365</f>
        <v>367522597.58821028</v>
      </c>
      <c r="D83" s="296">
        <f t="shared" si="22"/>
        <v>55128389.638231538</v>
      </c>
      <c r="E83" s="59">
        <f t="shared" ref="E83:E111" si="30">C83-D83</f>
        <v>312394207.94997877</v>
      </c>
      <c r="F83" s="372">
        <f t="shared" si="23"/>
        <v>1000717.3788671879</v>
      </c>
      <c r="G83" s="59">
        <f t="shared" ref="G83:G111" si="31">F83*365</f>
        <v>365261843.28652358</v>
      </c>
      <c r="H83" s="296">
        <f t="shared" si="24"/>
        <v>54789276.492978543</v>
      </c>
      <c r="I83" s="59">
        <f t="shared" ref="I83:I97" si="32">G83-H83</f>
        <v>310472566.79354501</v>
      </c>
      <c r="J83" s="321"/>
      <c r="K83" s="47">
        <f>K82+1</f>
        <v>2035</v>
      </c>
      <c r="L83" s="372">
        <f t="shared" si="25"/>
        <v>22077.585286561531</v>
      </c>
      <c r="M83" s="59">
        <f t="shared" ref="M83:M97" si="33">L83*365</f>
        <v>8058318.6295949584</v>
      </c>
      <c r="N83" s="296">
        <f t="shared" si="26"/>
        <v>1208747.7944392439</v>
      </c>
      <c r="O83" s="59">
        <f t="shared" ref="O83:O101" si="34">M83-N83</f>
        <v>6849570.8351557143</v>
      </c>
      <c r="P83" s="372">
        <f t="shared" si="27"/>
        <v>21887.856447152441</v>
      </c>
      <c r="Q83" s="59">
        <f t="shared" ref="Q83:Q111" si="35">P83*365</f>
        <v>7989067.6032106411</v>
      </c>
      <c r="R83" s="296">
        <f t="shared" si="28"/>
        <v>1198360.1404815961</v>
      </c>
      <c r="S83" s="59">
        <f t="shared" ref="S83:S84" si="36">Q83-R83</f>
        <v>6790707.4627290452</v>
      </c>
      <c r="T83" s="311"/>
      <c r="U83" s="311"/>
      <c r="V83" s="311"/>
      <c r="W83" s="311"/>
      <c r="X83" s="311"/>
      <c r="Y83" s="311"/>
      <c r="Z83" s="311"/>
      <c r="AA83" s="311"/>
      <c r="AB83" s="311"/>
      <c r="AC83" s="311"/>
      <c r="AD83" s="311"/>
      <c r="AE83" s="311"/>
      <c r="AF83" s="311"/>
      <c r="AG83" s="311"/>
    </row>
    <row r="84" spans="1:33">
      <c r="A84" s="47">
        <f t="shared" ref="A84:A111" si="37">A83+1</f>
        <v>2036</v>
      </c>
      <c r="B84" s="372">
        <f t="shared" si="21"/>
        <v>1022244.8997655526</v>
      </c>
      <c r="C84" s="59">
        <f t="shared" si="29"/>
        <v>373119388.41442668</v>
      </c>
      <c r="D84" s="296">
        <f t="shared" si="22"/>
        <v>55967908.262163997</v>
      </c>
      <c r="E84" s="59">
        <f t="shared" si="30"/>
        <v>317151480.15226269</v>
      </c>
      <c r="F84" s="372">
        <f t="shared" si="23"/>
        <v>1015956.7298144039</v>
      </c>
      <c r="G84" s="59">
        <f t="shared" si="31"/>
        <v>370824206.38225746</v>
      </c>
      <c r="H84" s="296">
        <f t="shared" si="24"/>
        <v>55623630.957338624</v>
      </c>
      <c r="I84" s="59">
        <f t="shared" si="32"/>
        <v>315200575.42491883</v>
      </c>
      <c r="J84" s="336"/>
      <c r="K84" s="47">
        <f t="shared" ref="K84:K111" si="38">K83+1</f>
        <v>2036</v>
      </c>
      <c r="L84" s="372">
        <f t="shared" si="25"/>
        <v>22413.792169098</v>
      </c>
      <c r="M84" s="59">
        <f t="shared" si="33"/>
        <v>8181034.1417207699</v>
      </c>
      <c r="N84" s="296">
        <f t="shared" si="26"/>
        <v>1227155.1212581156</v>
      </c>
      <c r="O84" s="59">
        <f t="shared" si="34"/>
        <v>6953879.0204626545</v>
      </c>
      <c r="P84" s="372">
        <f t="shared" si="27"/>
        <v>22221.174058022782</v>
      </c>
      <c r="Q84" s="59">
        <f t="shared" si="35"/>
        <v>8110728.5311783152</v>
      </c>
      <c r="R84" s="296">
        <f t="shared" si="28"/>
        <v>1216609.2796767473</v>
      </c>
      <c r="S84" s="59">
        <f t="shared" si="36"/>
        <v>6894119.2515015677</v>
      </c>
      <c r="T84" s="311"/>
      <c r="U84" s="311"/>
      <c r="V84" s="311"/>
      <c r="W84" s="311"/>
      <c r="X84" s="311"/>
      <c r="Y84" s="311"/>
      <c r="Z84" s="311"/>
      <c r="AA84" s="311"/>
      <c r="AB84" s="311"/>
      <c r="AC84" s="311"/>
      <c r="AD84" s="311"/>
      <c r="AE84" s="311"/>
      <c r="AF84" s="311"/>
      <c r="AG84" s="311"/>
    </row>
    <row r="85" spans="1:33">
      <c r="A85" s="47">
        <f t="shared" si="37"/>
        <v>2037</v>
      </c>
      <c r="B85" s="372">
        <f t="shared" si="21"/>
        <v>1037812.0809802564</v>
      </c>
      <c r="C85" s="59">
        <f t="shared" si="29"/>
        <v>378801409.55779362</v>
      </c>
      <c r="D85" s="296">
        <f t="shared" si="22"/>
        <v>56820211.433669031</v>
      </c>
      <c r="E85" s="59">
        <f t="shared" si="30"/>
        <v>321981198.12412459</v>
      </c>
      <c r="F85" s="372">
        <f t="shared" si="23"/>
        <v>1031428.1520958416</v>
      </c>
      <c r="G85" s="59">
        <f t="shared" si="31"/>
        <v>376471275.51498216</v>
      </c>
      <c r="H85" s="296">
        <f t="shared" si="24"/>
        <v>56470691.327247337</v>
      </c>
      <c r="I85" s="59">
        <f>G85-H85</f>
        <v>320000584.18773484</v>
      </c>
      <c r="J85" s="318"/>
      <c r="K85" s="47">
        <f t="shared" si="38"/>
        <v>2037</v>
      </c>
      <c r="L85" s="372">
        <f t="shared" si="25"/>
        <v>22755.118953398985</v>
      </c>
      <c r="M85" s="59">
        <f t="shared" si="33"/>
        <v>8305618.4179906296</v>
      </c>
      <c r="N85" s="296">
        <f t="shared" si="26"/>
        <v>1245842.7626985945</v>
      </c>
      <c r="O85" s="59">
        <f t="shared" si="34"/>
        <v>7059775.6552920351</v>
      </c>
      <c r="P85" s="372">
        <f t="shared" si="27"/>
        <v>22559.567571596734</v>
      </c>
      <c r="Q85" s="59">
        <f t="shared" si="35"/>
        <v>8234242.1636328073</v>
      </c>
      <c r="R85" s="296">
        <f t="shared" si="28"/>
        <v>1235136.3245449211</v>
      </c>
      <c r="S85" s="59">
        <f>Q85-R85</f>
        <v>6999105.8390878867</v>
      </c>
      <c r="T85" s="311"/>
      <c r="U85" s="311"/>
      <c r="V85" s="311"/>
      <c r="W85" s="311"/>
      <c r="X85" s="311"/>
      <c r="Y85" s="311"/>
      <c r="Z85" s="311"/>
      <c r="AA85" s="311"/>
      <c r="AB85" s="311"/>
      <c r="AC85" s="311"/>
      <c r="AD85" s="311"/>
      <c r="AE85" s="311"/>
      <c r="AF85" s="311"/>
      <c r="AG85" s="311"/>
    </row>
    <row r="86" spans="1:33">
      <c r="A86" s="47">
        <f t="shared" si="37"/>
        <v>2038</v>
      </c>
      <c r="B86" s="372">
        <f t="shared" si="21"/>
        <v>1053616.3258682806</v>
      </c>
      <c r="C86" s="59">
        <f t="shared" si="29"/>
        <v>384569958.94192243</v>
      </c>
      <c r="D86" s="296">
        <f t="shared" si="22"/>
        <v>57685493.841288358</v>
      </c>
      <c r="E86" s="59">
        <f t="shared" si="30"/>
        <v>326884465.1006341</v>
      </c>
      <c r="F86" s="372">
        <f t="shared" si="23"/>
        <v>1047135.1797927326</v>
      </c>
      <c r="G86" s="59">
        <f t="shared" si="31"/>
        <v>382204340.62434739</v>
      </c>
      <c r="H86" s="296">
        <f t="shared" si="24"/>
        <v>57330651.093652122</v>
      </c>
      <c r="I86" s="59">
        <f t="shared" si="32"/>
        <v>324873689.53069526</v>
      </c>
      <c r="J86" s="311"/>
      <c r="K86" s="47">
        <f t="shared" si="38"/>
        <v>2038</v>
      </c>
      <c r="L86" s="372">
        <f t="shared" si="25"/>
        <v>23101.643607511662</v>
      </c>
      <c r="M86" s="59">
        <f t="shared" si="33"/>
        <v>8432099.9167417567</v>
      </c>
      <c r="N86" s="296">
        <f t="shared" si="26"/>
        <v>1264814.9875112635</v>
      </c>
      <c r="O86" s="59">
        <f t="shared" si="34"/>
        <v>7167284.9292304935</v>
      </c>
      <c r="P86" s="372">
        <f t="shared" si="27"/>
        <v>22903.114285885011</v>
      </c>
      <c r="Q86" s="59">
        <f t="shared" si="35"/>
        <v>8359636.7143480293</v>
      </c>
      <c r="R86" s="296">
        <f t="shared" si="28"/>
        <v>1253945.5071522042</v>
      </c>
      <c r="S86" s="59">
        <f t="shared" ref="S86:S101" si="39">Q86-R86</f>
        <v>7105691.2071958249</v>
      </c>
      <c r="T86" s="311"/>
      <c r="U86" s="311"/>
      <c r="V86" s="311"/>
      <c r="W86" s="311"/>
      <c r="X86" s="311"/>
      <c r="Y86" s="311"/>
      <c r="Z86" s="311"/>
      <c r="AA86" s="311"/>
      <c r="AB86" s="311"/>
      <c r="AC86" s="311"/>
      <c r="AD86" s="311"/>
      <c r="AE86" s="311"/>
      <c r="AF86" s="311"/>
      <c r="AG86" s="311"/>
    </row>
    <row r="87" spans="1:33">
      <c r="A87" s="47">
        <f t="shared" si="37"/>
        <v>2039</v>
      </c>
      <c r="B87" s="372">
        <f t="shared" si="21"/>
        <v>1069661.2445363256</v>
      </c>
      <c r="C87" s="59">
        <f t="shared" si="29"/>
        <v>390426354.25575882</v>
      </c>
      <c r="D87" s="296">
        <f t="shared" si="22"/>
        <v>58563953.138363816</v>
      </c>
      <c r="E87" s="59">
        <f t="shared" si="30"/>
        <v>331862401.11739498</v>
      </c>
      <c r="F87" s="372">
        <f t="shared" si="23"/>
        <v>1063081.4008048046</v>
      </c>
      <c r="G87" s="59">
        <f t="shared" si="31"/>
        <v>388024711.29375368</v>
      </c>
      <c r="H87" s="296">
        <f t="shared" si="24"/>
        <v>58203706.694063067</v>
      </c>
      <c r="I87" s="59">
        <f t="shared" si="32"/>
        <v>329821004.59969062</v>
      </c>
      <c r="J87" s="311"/>
      <c r="K87" s="47">
        <f t="shared" si="38"/>
        <v>2039</v>
      </c>
      <c r="L87" s="372">
        <f t="shared" si="25"/>
        <v>23453.445286813869</v>
      </c>
      <c r="M87" s="59">
        <f t="shared" si="33"/>
        <v>8560507.5296870619</v>
      </c>
      <c r="N87" s="296">
        <f t="shared" si="26"/>
        <v>1284076.1294530593</v>
      </c>
      <c r="O87" s="59">
        <f t="shared" si="34"/>
        <v>7276431.4002340026</v>
      </c>
      <c r="P87" s="372">
        <f t="shared" si="27"/>
        <v>23251.892676025393</v>
      </c>
      <c r="Q87" s="59">
        <f t="shared" si="35"/>
        <v>8486940.8267492689</v>
      </c>
      <c r="R87" s="296">
        <f t="shared" si="28"/>
        <v>1273041.1240123902</v>
      </c>
      <c r="S87" s="59">
        <f t="shared" si="39"/>
        <v>7213899.7027368788</v>
      </c>
      <c r="T87" s="311"/>
      <c r="U87" s="311"/>
      <c r="V87" s="311"/>
      <c r="W87" s="311"/>
      <c r="X87" s="311"/>
      <c r="Y87" s="311"/>
      <c r="Z87" s="311"/>
      <c r="AA87" s="311"/>
      <c r="AB87" s="311"/>
      <c r="AC87" s="311"/>
      <c r="AD87" s="311"/>
      <c r="AE87" s="311"/>
      <c r="AF87" s="311"/>
      <c r="AG87" s="311"/>
    </row>
    <row r="88" spans="1:33">
      <c r="A88" s="47">
        <f t="shared" si="37"/>
        <v>2040</v>
      </c>
      <c r="B88" s="372">
        <f t="shared" si="21"/>
        <v>1085950.5020673356</v>
      </c>
      <c r="C88" s="59">
        <f t="shared" si="29"/>
        <v>396371933.25457752</v>
      </c>
      <c r="D88" s="296">
        <f t="shared" si="22"/>
        <v>59455789.988186613</v>
      </c>
      <c r="E88" s="59">
        <f t="shared" si="30"/>
        <v>336916143.26639092</v>
      </c>
      <c r="F88" s="372">
        <f t="shared" si="23"/>
        <v>1079270.4576698525</v>
      </c>
      <c r="G88" s="59">
        <f t="shared" si="31"/>
        <v>393933717.04949617</v>
      </c>
      <c r="H88" s="296">
        <f t="shared" si="24"/>
        <v>59090057.557424434</v>
      </c>
      <c r="I88" s="59">
        <f t="shared" si="32"/>
        <v>334843659.49207175</v>
      </c>
      <c r="J88" s="311"/>
      <c r="K88" s="47">
        <f t="shared" si="38"/>
        <v>2040</v>
      </c>
      <c r="L88" s="372">
        <f t="shared" si="25"/>
        <v>23810.604352095299</v>
      </c>
      <c r="M88" s="59">
        <f t="shared" si="33"/>
        <v>8690870.5885147844</v>
      </c>
      <c r="N88" s="296">
        <f t="shared" si="26"/>
        <v>1303630.5882772175</v>
      </c>
      <c r="O88" s="59">
        <f t="shared" si="34"/>
        <v>7387240.0002375674</v>
      </c>
      <c r="P88" s="372">
        <f t="shared" si="27"/>
        <v>23605.982412208519</v>
      </c>
      <c r="Q88" s="59">
        <f t="shared" si="35"/>
        <v>8616183.5804561097</v>
      </c>
      <c r="R88" s="296">
        <f t="shared" si="28"/>
        <v>1292427.5370684164</v>
      </c>
      <c r="S88" s="59">
        <f t="shared" si="39"/>
        <v>7323756.0433876934</v>
      </c>
      <c r="T88" s="311"/>
      <c r="U88" s="311"/>
      <c r="V88" s="311"/>
      <c r="W88" s="311"/>
      <c r="X88" s="311"/>
      <c r="Y88" s="311"/>
      <c r="Z88" s="311"/>
      <c r="AA88" s="311"/>
      <c r="AB88" s="311"/>
      <c r="AC88" s="311"/>
      <c r="AD88" s="311"/>
      <c r="AE88" s="311"/>
      <c r="AF88" s="311"/>
      <c r="AG88" s="311"/>
    </row>
    <row r="89" spans="1:33">
      <c r="A89" s="47">
        <f t="shared" si="37"/>
        <v>2041</v>
      </c>
      <c r="B89" s="372">
        <f t="shared" si="21"/>
        <v>1102487.8193577011</v>
      </c>
      <c r="C89" s="59">
        <f t="shared" si="29"/>
        <v>402408054.06556088</v>
      </c>
      <c r="D89" s="296">
        <f t="shared" si="22"/>
        <v>60361208.109834127</v>
      </c>
      <c r="E89" s="59">
        <f t="shared" si="30"/>
        <v>342046845.95572674</v>
      </c>
      <c r="F89" s="372">
        <f t="shared" si="23"/>
        <v>1095706.0483957895</v>
      </c>
      <c r="G89" s="59">
        <f t="shared" si="31"/>
        <v>399932707.66446316</v>
      </c>
      <c r="H89" s="296">
        <f t="shared" si="24"/>
        <v>59989906.149669476</v>
      </c>
      <c r="I89" s="59">
        <f t="shared" si="32"/>
        <v>339942801.51479369</v>
      </c>
      <c r="J89" s="311"/>
      <c r="K89" s="47">
        <f t="shared" si="38"/>
        <v>2041</v>
      </c>
      <c r="L89" s="372">
        <f t="shared" si="25"/>
        <v>24173.202387914011</v>
      </c>
      <c r="M89" s="59">
        <f t="shared" si="33"/>
        <v>8823218.8715886138</v>
      </c>
      <c r="N89" s="296">
        <f t="shared" si="26"/>
        <v>1323482.8307382918</v>
      </c>
      <c r="O89" s="59">
        <f t="shared" si="34"/>
        <v>7499736.0408503218</v>
      </c>
      <c r="P89" s="372">
        <f t="shared" si="27"/>
        <v>23965.464377876669</v>
      </c>
      <c r="Q89" s="59">
        <f t="shared" si="35"/>
        <v>8747394.4979249835</v>
      </c>
      <c r="R89" s="296">
        <f t="shared" si="28"/>
        <v>1312109.1746887476</v>
      </c>
      <c r="S89" s="59">
        <f t="shared" si="39"/>
        <v>7435285.3232362363</v>
      </c>
      <c r="T89" s="311"/>
      <c r="U89" s="311"/>
      <c r="V89" s="311"/>
      <c r="W89" s="311"/>
      <c r="X89" s="311"/>
      <c r="Y89" s="311"/>
      <c r="Z89" s="311"/>
      <c r="AA89" s="311"/>
      <c r="AB89" s="311"/>
      <c r="AC89" s="311"/>
      <c r="AD89" s="311"/>
      <c r="AE89" s="311"/>
      <c r="AF89" s="311"/>
      <c r="AG89" s="311"/>
    </row>
    <row r="90" spans="1:33">
      <c r="A90" s="47">
        <f t="shared" si="37"/>
        <v>2042</v>
      </c>
      <c r="B90" s="372">
        <f t="shared" si="21"/>
        <v>1119276.9739672092</v>
      </c>
      <c r="C90" s="59">
        <f t="shared" si="29"/>
        <v>408536095.49803138</v>
      </c>
      <c r="D90" s="296">
        <f t="shared" si="22"/>
        <v>61280414.324704699</v>
      </c>
      <c r="E90" s="59">
        <f t="shared" si="30"/>
        <v>347255681.17332667</v>
      </c>
      <c r="F90" s="372">
        <f t="shared" si="23"/>
        <v>1112391.9273053701</v>
      </c>
      <c r="G90" s="59">
        <f t="shared" si="31"/>
        <v>406023053.46646011</v>
      </c>
      <c r="H90" s="296">
        <f t="shared" si="24"/>
        <v>60903458.019969009</v>
      </c>
      <c r="I90" s="59">
        <f t="shared" si="32"/>
        <v>345119595.44649112</v>
      </c>
      <c r="J90" s="311"/>
      <c r="K90" s="47">
        <f t="shared" si="38"/>
        <v>2042</v>
      </c>
      <c r="L90" s="372">
        <f t="shared" si="25"/>
        <v>24541.322221232498</v>
      </c>
      <c r="M90" s="59">
        <f t="shared" si="33"/>
        <v>8957582.6107498612</v>
      </c>
      <c r="N90" s="296">
        <f t="shared" si="26"/>
        <v>1343637.391612479</v>
      </c>
      <c r="O90" s="59">
        <f t="shared" si="34"/>
        <v>7613945.2191373818</v>
      </c>
      <c r="P90" s="372">
        <f t="shared" si="27"/>
        <v>24330.420688199665</v>
      </c>
      <c r="Q90" s="59">
        <f t="shared" si="35"/>
        <v>8880603.5511928778</v>
      </c>
      <c r="R90" s="296">
        <f t="shared" si="28"/>
        <v>1332090.5326789317</v>
      </c>
      <c r="S90" s="59">
        <f t="shared" si="39"/>
        <v>7548513.0185139459</v>
      </c>
      <c r="T90" s="311"/>
      <c r="U90" s="311"/>
      <c r="V90" s="311"/>
      <c r="W90" s="311"/>
      <c r="X90" s="311"/>
      <c r="Y90" s="311"/>
      <c r="Z90" s="311"/>
      <c r="AA90" s="311"/>
      <c r="AB90" s="311"/>
      <c r="AC90" s="311"/>
      <c r="AD90" s="311"/>
      <c r="AE90" s="311"/>
      <c r="AF90" s="311"/>
      <c r="AG90" s="311"/>
    </row>
    <row r="91" spans="1:33">
      <c r="A91" s="47">
        <f t="shared" si="37"/>
        <v>2043</v>
      </c>
      <c r="B91" s="372">
        <f t="shared" si="21"/>
        <v>1136321.8009819384</v>
      </c>
      <c r="C91" s="59">
        <f t="shared" si="29"/>
        <v>414757457.3584075</v>
      </c>
      <c r="D91" s="296">
        <f t="shared" si="22"/>
        <v>62213618.603761114</v>
      </c>
      <c r="E91" s="59">
        <f t="shared" si="30"/>
        <v>352543838.75464636</v>
      </c>
      <c r="F91" s="372">
        <f t="shared" si="23"/>
        <v>1129331.9058937768</v>
      </c>
      <c r="G91" s="59">
        <f t="shared" si="31"/>
        <v>412206145.65122855</v>
      </c>
      <c r="H91" s="296">
        <f t="shared" si="24"/>
        <v>61830921.847684272</v>
      </c>
      <c r="I91" s="59">
        <f t="shared" si="32"/>
        <v>350375223.80354428</v>
      </c>
      <c r="J91" s="311"/>
      <c r="K91" s="47">
        <f t="shared" si="38"/>
        <v>2043</v>
      </c>
      <c r="L91" s="372">
        <f t="shared" si="25"/>
        <v>24915.047940337561</v>
      </c>
      <c r="M91" s="59">
        <f t="shared" si="33"/>
        <v>9093992.4982232098</v>
      </c>
      <c r="N91" s="296">
        <f t="shared" si="26"/>
        <v>1364098.8747334813</v>
      </c>
      <c r="O91" s="59">
        <f t="shared" si="34"/>
        <v>7729893.6234897282</v>
      </c>
      <c r="P91" s="372">
        <f t="shared" si="27"/>
        <v>24700.934708832148</v>
      </c>
      <c r="Q91" s="59">
        <f t="shared" si="35"/>
        <v>9015841.1687237341</v>
      </c>
      <c r="R91" s="296">
        <f t="shared" si="28"/>
        <v>1352376.17530856</v>
      </c>
      <c r="S91" s="59">
        <f t="shared" si="39"/>
        <v>7663464.9934151741</v>
      </c>
      <c r="T91" s="311"/>
      <c r="U91" s="311"/>
      <c r="V91" s="311"/>
      <c r="W91" s="311"/>
      <c r="X91" s="311"/>
      <c r="Y91" s="311"/>
      <c r="Z91" s="311"/>
      <c r="AA91" s="311"/>
      <c r="AB91" s="311"/>
      <c r="AC91" s="311"/>
      <c r="AD91" s="311"/>
      <c r="AE91" s="311"/>
      <c r="AF91" s="311"/>
      <c r="AG91" s="311"/>
    </row>
    <row r="92" spans="1:33">
      <c r="A92" s="47">
        <f t="shared" si="37"/>
        <v>2044</v>
      </c>
      <c r="B92" s="372">
        <f t="shared" si="21"/>
        <v>1153626.1938902927</v>
      </c>
      <c r="C92" s="59">
        <f t="shared" si="29"/>
        <v>421073560.76995683</v>
      </c>
      <c r="D92" s="296">
        <f t="shared" si="22"/>
        <v>63161034.115493521</v>
      </c>
      <c r="E92" s="59">
        <f t="shared" si="30"/>
        <v>357912526.65446329</v>
      </c>
      <c r="F92" s="372">
        <f t="shared" si="23"/>
        <v>1146529.8536992657</v>
      </c>
      <c r="G92" s="59">
        <f t="shared" si="31"/>
        <v>418483396.60023201</v>
      </c>
      <c r="H92" s="296">
        <f t="shared" si="24"/>
        <v>62772509.490034796</v>
      </c>
      <c r="I92" s="59">
        <f t="shared" si="32"/>
        <v>355710887.11019719</v>
      </c>
      <c r="J92" s="311"/>
      <c r="K92" s="47">
        <f t="shared" si="38"/>
        <v>2044</v>
      </c>
      <c r="L92" s="372">
        <f t="shared" si="25"/>
        <v>25294.464914048287</v>
      </c>
      <c r="M92" s="59">
        <f t="shared" si="33"/>
        <v>9232479.6936276238</v>
      </c>
      <c r="N92" s="296">
        <f t="shared" si="26"/>
        <v>1384871.9540441434</v>
      </c>
      <c r="O92" s="59">
        <f t="shared" si="34"/>
        <v>7847607.7395834802</v>
      </c>
      <c r="P92" s="372">
        <f t="shared" si="27"/>
        <v>25077.091074956497</v>
      </c>
      <c r="Q92" s="59">
        <f t="shared" si="35"/>
        <v>9153138.2423591223</v>
      </c>
      <c r="R92" s="296">
        <f t="shared" si="28"/>
        <v>1372970.7363538682</v>
      </c>
      <c r="S92" s="59">
        <f t="shared" si="39"/>
        <v>7780167.5060052536</v>
      </c>
      <c r="T92" s="311"/>
      <c r="U92" s="311"/>
      <c r="V92" s="311"/>
      <c r="W92" s="311"/>
      <c r="X92" s="311"/>
      <c r="Y92" s="311"/>
      <c r="Z92" s="311"/>
      <c r="AA92" s="311"/>
      <c r="AB92" s="311"/>
      <c r="AC92" s="311"/>
      <c r="AD92" s="311"/>
      <c r="AE92" s="311"/>
      <c r="AF92" s="311"/>
      <c r="AG92" s="311"/>
    </row>
    <row r="93" spans="1:33">
      <c r="A93" s="47">
        <f t="shared" si="37"/>
        <v>2045</v>
      </c>
      <c r="B93" s="372">
        <f t="shared" si="21"/>
        <v>1171194.1054723784</v>
      </c>
      <c r="C93" s="59">
        <f t="shared" si="29"/>
        <v>427485848.49741811</v>
      </c>
      <c r="D93" s="296">
        <f t="shared" si="22"/>
        <v>64122877.27461271</v>
      </c>
      <c r="E93" s="59">
        <f t="shared" si="30"/>
        <v>363362971.22280538</v>
      </c>
      <c r="F93" s="372">
        <f t="shared" si="23"/>
        <v>1163989.6991870718</v>
      </c>
      <c r="G93" s="59">
        <f t="shared" si="31"/>
        <v>424856240.20328116</v>
      </c>
      <c r="H93" s="296">
        <f t="shared" si="24"/>
        <v>63728436.030492179</v>
      </c>
      <c r="I93" s="59">
        <f t="shared" si="32"/>
        <v>361127804.17278898</v>
      </c>
      <c r="J93" s="311"/>
      <c r="K93" s="47">
        <f t="shared" si="38"/>
        <v>2045</v>
      </c>
      <c r="L93" s="372">
        <f t="shared" si="25"/>
        <v>25679.659811216534</v>
      </c>
      <c r="M93" s="59">
        <f t="shared" si="33"/>
        <v>9373075.831094034</v>
      </c>
      <c r="N93" s="296">
        <f t="shared" si="26"/>
        <v>1405961.374664105</v>
      </c>
      <c r="O93" s="59">
        <f t="shared" si="34"/>
        <v>7967114.4564299285</v>
      </c>
      <c r="P93" s="372">
        <f t="shared" si="27"/>
        <v>25458.975710615734</v>
      </c>
      <c r="Q93" s="59">
        <f t="shared" si="35"/>
        <v>9292526.1343747433</v>
      </c>
      <c r="R93" s="296">
        <f t="shared" si="28"/>
        <v>1393878.9201562114</v>
      </c>
      <c r="S93" s="59">
        <f t="shared" si="39"/>
        <v>7898647.2142185317</v>
      </c>
      <c r="T93" s="311"/>
      <c r="U93" s="311"/>
      <c r="V93" s="311"/>
      <c r="W93" s="311"/>
      <c r="X93" s="311"/>
      <c r="Y93" s="311"/>
      <c r="Z93" s="311"/>
      <c r="AA93" s="311"/>
      <c r="AB93" s="311"/>
      <c r="AC93" s="311"/>
      <c r="AD93" s="311"/>
      <c r="AE93" s="311"/>
      <c r="AF93" s="311"/>
      <c r="AG93" s="311"/>
    </row>
    <row r="94" spans="1:33">
      <c r="A94" s="47">
        <f t="shared" si="37"/>
        <v>2046</v>
      </c>
      <c r="B94" s="372">
        <f t="shared" si="21"/>
        <v>1189029.5487029222</v>
      </c>
      <c r="C94" s="59">
        <f t="shared" si="29"/>
        <v>433995785.27656662</v>
      </c>
      <c r="D94" s="296">
        <f t="shared" si="22"/>
        <v>65099367.791484989</v>
      </c>
      <c r="E94" s="59">
        <f t="shared" si="30"/>
        <v>368896417.48508161</v>
      </c>
      <c r="F94" s="372">
        <f t="shared" si="23"/>
        <v>1181715.4306467734</v>
      </c>
      <c r="G94" s="59">
        <f t="shared" si="31"/>
        <v>431326132.18607229</v>
      </c>
      <c r="H94" s="296">
        <f t="shared" si="24"/>
        <v>64698919.827910841</v>
      </c>
      <c r="I94" s="59">
        <f t="shared" si="32"/>
        <v>366627212.35816145</v>
      </c>
      <c r="J94" s="311"/>
      <c r="K94" s="47">
        <f t="shared" si="38"/>
        <v>2046</v>
      </c>
      <c r="L94" s="372">
        <f t="shared" si="25"/>
        <v>26070.7206205244</v>
      </c>
      <c r="M94" s="59">
        <f t="shared" si="33"/>
        <v>9515813.0264914054</v>
      </c>
      <c r="N94" s="296">
        <f t="shared" si="26"/>
        <v>1427371.9539737108</v>
      </c>
      <c r="O94" s="59">
        <f t="shared" si="34"/>
        <v>8088441.0725176949</v>
      </c>
      <c r="P94" s="372">
        <f t="shared" si="27"/>
        <v>25846.675848340848</v>
      </c>
      <c r="Q94" s="59">
        <f t="shared" si="35"/>
        <v>9434036.6846444104</v>
      </c>
      <c r="R94" s="296">
        <f t="shared" si="28"/>
        <v>1415105.5026966613</v>
      </c>
      <c r="S94" s="59">
        <f t="shared" si="39"/>
        <v>8018931.1819477491</v>
      </c>
      <c r="T94" s="311"/>
      <c r="U94" s="311"/>
      <c r="V94" s="311"/>
      <c r="W94" s="311"/>
      <c r="X94" s="311"/>
      <c r="Y94" s="311"/>
      <c r="Z94" s="311"/>
      <c r="AA94" s="311"/>
      <c r="AB94" s="311"/>
      <c r="AC94" s="311"/>
      <c r="AD94" s="311"/>
      <c r="AE94" s="311"/>
      <c r="AF94" s="311"/>
      <c r="AG94" s="311"/>
    </row>
    <row r="95" spans="1:33">
      <c r="A95" s="47">
        <f t="shared" si="37"/>
        <v>2047</v>
      </c>
      <c r="B95" s="372">
        <f t="shared" si="21"/>
        <v>1207136.5976679414</v>
      </c>
      <c r="C95" s="59">
        <f t="shared" si="29"/>
        <v>440604858.14879858</v>
      </c>
      <c r="D95" s="296">
        <f t="shared" si="22"/>
        <v>66090728.722319789</v>
      </c>
      <c r="E95" s="59">
        <f t="shared" si="30"/>
        <v>374514129.4264788</v>
      </c>
      <c r="F95" s="372">
        <f t="shared" si="23"/>
        <v>1199711.0971033233</v>
      </c>
      <c r="G95" s="59">
        <f t="shared" si="31"/>
        <v>437894550.44271302</v>
      </c>
      <c r="H95" s="296">
        <f t="shared" si="24"/>
        <v>65684182.566406943</v>
      </c>
      <c r="I95" s="59">
        <f t="shared" si="32"/>
        <v>372210367.87630606</v>
      </c>
      <c r="J95" s="311"/>
      <c r="K95" s="47">
        <f t="shared" si="38"/>
        <v>2047</v>
      </c>
      <c r="L95" s="372">
        <f t="shared" si="25"/>
        <v>26467.736670583148</v>
      </c>
      <c r="M95" s="59">
        <f t="shared" si="33"/>
        <v>9660723.8847628497</v>
      </c>
      <c r="N95" s="296">
        <f t="shared" si="26"/>
        <v>1449108.5827144273</v>
      </c>
      <c r="O95" s="59">
        <f t="shared" si="34"/>
        <v>8211615.3020484224</v>
      </c>
      <c r="P95" s="372">
        <f t="shared" si="27"/>
        <v>26240.280049077002</v>
      </c>
      <c r="Q95" s="59">
        <f t="shared" si="35"/>
        <v>9577702.2179131061</v>
      </c>
      <c r="R95" s="296">
        <f t="shared" si="28"/>
        <v>1436655.3326869658</v>
      </c>
      <c r="S95" s="59">
        <f t="shared" si="39"/>
        <v>8141046.8852261398</v>
      </c>
      <c r="T95" s="311"/>
      <c r="U95" s="311"/>
      <c r="V95" s="311"/>
      <c r="W95" s="311"/>
      <c r="X95" s="311"/>
      <c r="Y95" s="311"/>
      <c r="Z95" s="311"/>
      <c r="AA95" s="311"/>
      <c r="AB95" s="311"/>
      <c r="AC95" s="311"/>
      <c r="AD95" s="311"/>
      <c r="AE95" s="311"/>
      <c r="AF95" s="311"/>
      <c r="AG95" s="311"/>
    </row>
    <row r="96" spans="1:33">
      <c r="A96" s="47">
        <f t="shared" si="37"/>
        <v>2048</v>
      </c>
      <c r="B96" s="372">
        <f t="shared" si="21"/>
        <v>1225519.3884953719</v>
      </c>
      <c r="C96" s="59">
        <f t="shared" si="29"/>
        <v>447314576.80081075</v>
      </c>
      <c r="D96" s="296">
        <f t="shared" si="22"/>
        <v>67097186.520121612</v>
      </c>
      <c r="E96" s="59">
        <f t="shared" si="30"/>
        <v>380217390.28068912</v>
      </c>
      <c r="F96" s="372">
        <f t="shared" si="23"/>
        <v>1217980.8092419526</v>
      </c>
      <c r="G96" s="59">
        <f t="shared" si="31"/>
        <v>444562995.37331271</v>
      </c>
      <c r="H96" s="296">
        <f t="shared" si="24"/>
        <v>66684449.305996895</v>
      </c>
      <c r="I96" s="59">
        <f t="shared" si="32"/>
        <v>377878546.06731582</v>
      </c>
      <c r="J96" s="311"/>
      <c r="K96" s="47">
        <f t="shared" si="38"/>
        <v>2048</v>
      </c>
      <c r="L96" s="372">
        <f t="shared" si="25"/>
        <v>26870.798650338224</v>
      </c>
      <c r="M96" s="59">
        <f t="shared" si="33"/>
        <v>9807841.5073734522</v>
      </c>
      <c r="N96" s="296">
        <f t="shared" si="26"/>
        <v>1471176.2261060176</v>
      </c>
      <c r="O96" s="59">
        <f t="shared" si="34"/>
        <v>8336665.2812674344</v>
      </c>
      <c r="P96" s="372">
        <f t="shared" si="27"/>
        <v>26639.878222413201</v>
      </c>
      <c r="Q96" s="59">
        <f t="shared" si="35"/>
        <v>9723555.551180819</v>
      </c>
      <c r="R96" s="296">
        <f t="shared" si="28"/>
        <v>1458533.3326771227</v>
      </c>
      <c r="S96" s="59">
        <f t="shared" si="39"/>
        <v>8265022.2185036968</v>
      </c>
      <c r="T96" s="311"/>
      <c r="U96" s="311"/>
      <c r="V96" s="311"/>
      <c r="W96" s="311"/>
      <c r="X96" s="311"/>
      <c r="Y96" s="311"/>
      <c r="Z96" s="311"/>
      <c r="AA96" s="311"/>
      <c r="AB96" s="311"/>
      <c r="AC96" s="311"/>
      <c r="AD96" s="311"/>
      <c r="AE96" s="311"/>
      <c r="AF96" s="311"/>
      <c r="AG96" s="311"/>
    </row>
    <row r="97" spans="1:41">
      <c r="A97" s="47">
        <f t="shared" si="37"/>
        <v>2049</v>
      </c>
      <c r="B97" s="372">
        <f t="shared" si="21"/>
        <v>1244182.1202998699</v>
      </c>
      <c r="C97" s="59">
        <f t="shared" si="29"/>
        <v>454126473.9094525</v>
      </c>
      <c r="D97" s="296">
        <f t="shared" si="22"/>
        <v>68118971.086417884</v>
      </c>
      <c r="E97" s="59">
        <f t="shared" si="30"/>
        <v>386007502.82303464</v>
      </c>
      <c r="F97" s="372">
        <f t="shared" si="23"/>
        <v>1236528.74034716</v>
      </c>
      <c r="G97" s="59">
        <f t="shared" si="31"/>
        <v>451332990.22671342</v>
      </c>
      <c r="H97" s="296">
        <f t="shared" si="24"/>
        <v>67699948.534006998</v>
      </c>
      <c r="I97" s="59">
        <f t="shared" si="32"/>
        <v>383633041.69270641</v>
      </c>
      <c r="J97" s="311"/>
      <c r="K97" s="47">
        <f t="shared" si="38"/>
        <v>2049</v>
      </c>
      <c r="L97" s="372">
        <f t="shared" si="25"/>
        <v>27279.998629784997</v>
      </c>
      <c r="M97" s="59">
        <f t="shared" si="33"/>
        <v>9957199.4998715241</v>
      </c>
      <c r="N97" s="296">
        <f t="shared" si="26"/>
        <v>1493579.9249807287</v>
      </c>
      <c r="O97" s="59">
        <f t="shared" si="34"/>
        <v>8463619.5748907961</v>
      </c>
      <c r="P97" s="372">
        <f t="shared" si="27"/>
        <v>27045.561647120001</v>
      </c>
      <c r="Q97" s="59">
        <f t="shared" si="35"/>
        <v>9871630.0011988003</v>
      </c>
      <c r="R97" s="296">
        <f t="shared" si="28"/>
        <v>1480744.50017982</v>
      </c>
      <c r="S97" s="59">
        <f t="shared" si="39"/>
        <v>8390885.5010189805</v>
      </c>
      <c r="T97" s="311"/>
      <c r="U97" s="311"/>
      <c r="V97" s="311"/>
      <c r="W97" s="311"/>
      <c r="X97" s="311"/>
      <c r="Y97" s="311"/>
      <c r="Z97" s="311"/>
      <c r="AA97" s="311"/>
      <c r="AB97" s="311"/>
      <c r="AC97" s="311"/>
      <c r="AD97" s="311"/>
      <c r="AE97" s="311"/>
      <c r="AF97" s="311"/>
      <c r="AG97" s="311"/>
    </row>
    <row r="98" spans="1:41">
      <c r="A98" s="47">
        <f t="shared" si="37"/>
        <v>2050</v>
      </c>
      <c r="B98" s="559">
        <f>B118+B119</f>
        <v>1263129.056142</v>
      </c>
      <c r="C98" s="559">
        <f t="shared" ref="C98:C101" si="40">B98*365</f>
        <v>461042105.49182999</v>
      </c>
      <c r="D98" s="559">
        <f>C98*B120</f>
        <v>69156315.823774502</v>
      </c>
      <c r="E98" s="559">
        <f t="shared" ref="E98:E101" si="41">C98-D98</f>
        <v>391885789.66805547</v>
      </c>
      <c r="F98" s="559">
        <f>B127+B128</f>
        <v>1255359.1272559999</v>
      </c>
      <c r="G98" s="559">
        <f t="shared" ref="G98:G101" si="42">F98*365</f>
        <v>458206081.44843996</v>
      </c>
      <c r="H98" s="559">
        <f>G98*B129</f>
        <v>68730912.217265993</v>
      </c>
      <c r="I98" s="559">
        <f t="shared" ref="I98" si="43">G98-H98</f>
        <v>389475169.23117399</v>
      </c>
      <c r="J98" s="311"/>
      <c r="K98" s="47">
        <f t="shared" si="38"/>
        <v>2050</v>
      </c>
      <c r="L98" s="559">
        <f>B121+B122</f>
        <v>27695.430080999999</v>
      </c>
      <c r="M98" s="559">
        <f t="shared" ref="M98" si="44">L98*365</f>
        <v>10108831.979565</v>
      </c>
      <c r="N98" s="559">
        <f>M98*B120</f>
        <v>1516324.7969347499</v>
      </c>
      <c r="O98" s="559">
        <f t="shared" ref="O98" si="45">M98-N98</f>
        <v>8592507.1826302502</v>
      </c>
      <c r="P98" s="559">
        <f>B130+B131</f>
        <v>27457.422992</v>
      </c>
      <c r="Q98" s="559">
        <f t="shared" ref="Q98" si="46">P98*365</f>
        <v>10021959.39208</v>
      </c>
      <c r="R98" s="559">
        <f>Q98*B129</f>
        <v>1503293.908812</v>
      </c>
      <c r="S98" s="559">
        <f t="shared" ref="S98" si="47">Q98-R98</f>
        <v>8518665.4832680002</v>
      </c>
      <c r="T98" s="311"/>
      <c r="U98" s="311"/>
      <c r="V98" s="311"/>
      <c r="W98" s="311"/>
      <c r="X98" s="311"/>
      <c r="Y98" s="311"/>
      <c r="Z98" s="311"/>
      <c r="AA98" s="311"/>
      <c r="AB98" s="311"/>
      <c r="AC98" s="311"/>
      <c r="AD98" s="311"/>
      <c r="AE98" s="311"/>
      <c r="AF98" s="311"/>
      <c r="AG98" s="311"/>
    </row>
    <row r="99" spans="1:41">
      <c r="A99" s="47">
        <f t="shared" si="37"/>
        <v>2051</v>
      </c>
      <c r="B99" s="372">
        <f t="shared" ref="B99:B101" si="48">B98*(1+$B$137)</f>
        <v>1282075.9919841299</v>
      </c>
      <c r="C99" s="59">
        <f t="shared" si="40"/>
        <v>467957737.07420743</v>
      </c>
      <c r="D99" s="296">
        <f t="shared" ref="D99:D101" si="49">D98*(1+$B$137)</f>
        <v>70193660.56113112</v>
      </c>
      <c r="E99" s="59">
        <f t="shared" si="41"/>
        <v>397764076.51307631</v>
      </c>
      <c r="F99" s="372">
        <f t="shared" ref="F99:F101" si="50">F98*(1+$B$137)</f>
        <v>1274189.5141648399</v>
      </c>
      <c r="G99" s="59">
        <f t="shared" si="42"/>
        <v>465079172.67016655</v>
      </c>
      <c r="H99" s="296">
        <f t="shared" ref="H99:H101" si="51">H98*(1+$B$137)</f>
        <v>69761875.900524974</v>
      </c>
      <c r="I99" s="59">
        <f>G99-H99</f>
        <v>395317296.76964158</v>
      </c>
      <c r="J99" s="311"/>
      <c r="K99" s="47">
        <f t="shared" si="38"/>
        <v>2051</v>
      </c>
      <c r="L99" s="372">
        <f>L98*(1+$B$137)</f>
        <v>28110.861532214996</v>
      </c>
      <c r="M99" s="59">
        <f>L99*365</f>
        <v>10260464.459258474</v>
      </c>
      <c r="N99" s="296">
        <f>N98*(1+$B$137)</f>
        <v>1539069.668888771</v>
      </c>
      <c r="O99" s="59">
        <f t="shared" si="34"/>
        <v>8721394.7903697044</v>
      </c>
      <c r="P99" s="372">
        <f>P98*(1+$B$137)</f>
        <v>27869.284336879999</v>
      </c>
      <c r="Q99" s="59">
        <f t="shared" si="35"/>
        <v>10172288.782961199</v>
      </c>
      <c r="R99" s="296">
        <f>R98*(1+$B$137)</f>
        <v>1525843.3174441799</v>
      </c>
      <c r="S99" s="59">
        <f t="shared" si="39"/>
        <v>8646445.4655170199</v>
      </c>
      <c r="T99" s="311"/>
      <c r="U99" s="311"/>
      <c r="V99" s="311"/>
      <c r="W99" s="311"/>
      <c r="X99" s="311"/>
      <c r="Y99" s="311"/>
      <c r="Z99" s="311"/>
      <c r="AA99" s="311"/>
      <c r="AB99" s="311"/>
      <c r="AC99" s="311"/>
      <c r="AD99" s="311"/>
      <c r="AE99" s="311"/>
      <c r="AF99" s="311"/>
      <c r="AG99" s="311"/>
    </row>
    <row r="100" spans="1:41">
      <c r="A100" s="47">
        <f t="shared" si="37"/>
        <v>2052</v>
      </c>
      <c r="B100" s="372">
        <f t="shared" si="48"/>
        <v>1301307.1318638916</v>
      </c>
      <c r="C100" s="59">
        <f t="shared" si="40"/>
        <v>474977103.13032043</v>
      </c>
      <c r="D100" s="296">
        <f t="shared" si="49"/>
        <v>71246565.469548076</v>
      </c>
      <c r="E100" s="59">
        <f t="shared" si="41"/>
        <v>403730537.66077232</v>
      </c>
      <c r="F100" s="372">
        <f t="shared" si="50"/>
        <v>1293302.3568773123</v>
      </c>
      <c r="G100" s="59">
        <f t="shared" si="42"/>
        <v>472055360.26021898</v>
      </c>
      <c r="H100" s="296">
        <f t="shared" si="51"/>
        <v>70808304.039032847</v>
      </c>
      <c r="I100" s="59">
        <f t="shared" ref="I100:I111" si="52">G100-H100</f>
        <v>401247056.22118616</v>
      </c>
      <c r="J100" s="311"/>
      <c r="K100" s="47">
        <f t="shared" si="38"/>
        <v>2052</v>
      </c>
      <c r="L100" s="372">
        <f t="shared" ref="L100:L111" si="53">L99*(1+$B$137)</f>
        <v>28532.524455198218</v>
      </c>
      <c r="M100" s="59">
        <f t="shared" ref="M100:M111" si="54">L100*365</f>
        <v>10414371.426147349</v>
      </c>
      <c r="N100" s="296">
        <f t="shared" si="26"/>
        <v>1561804.22888647</v>
      </c>
      <c r="O100" s="59">
        <f t="shared" si="34"/>
        <v>8852567.197260879</v>
      </c>
      <c r="P100" s="372">
        <f t="shared" ref="P100:P111" si="55">P99*(1+$B$137)</f>
        <v>28287.323601933196</v>
      </c>
      <c r="Q100" s="59">
        <f t="shared" si="35"/>
        <v>10324873.114705617</v>
      </c>
      <c r="R100" s="296">
        <f t="shared" ref="R100:R111" si="56">R99*(1+$B$137)</f>
        <v>1548730.9672058425</v>
      </c>
      <c r="S100" s="59">
        <f t="shared" si="39"/>
        <v>8776142.1474997737</v>
      </c>
      <c r="T100" s="311"/>
      <c r="U100" s="311"/>
      <c r="V100" s="311"/>
      <c r="W100" s="311"/>
      <c r="X100" s="311"/>
      <c r="Y100" s="311"/>
      <c r="Z100" s="311"/>
      <c r="AA100" s="311"/>
      <c r="AB100" s="311"/>
      <c r="AC100" s="311"/>
      <c r="AD100" s="311"/>
      <c r="AE100" s="311"/>
      <c r="AF100" s="311"/>
      <c r="AG100" s="311"/>
    </row>
    <row r="101" spans="1:41">
      <c r="A101" s="47">
        <f t="shared" si="37"/>
        <v>2053</v>
      </c>
      <c r="B101" s="372">
        <f t="shared" si="48"/>
        <v>1320826.7388418498</v>
      </c>
      <c r="C101" s="59">
        <f t="shared" si="40"/>
        <v>482101759.67727518</v>
      </c>
      <c r="D101" s="296">
        <f t="shared" si="49"/>
        <v>72315263.951591298</v>
      </c>
      <c r="E101" s="59">
        <f t="shared" si="41"/>
        <v>409786495.72568387</v>
      </c>
      <c r="F101" s="372">
        <f t="shared" si="50"/>
        <v>1312701.8922304718</v>
      </c>
      <c r="G101" s="59">
        <f t="shared" si="42"/>
        <v>479136190.66412222</v>
      </c>
      <c r="H101" s="296">
        <f t="shared" si="51"/>
        <v>71870428.599618331</v>
      </c>
      <c r="I101" s="59">
        <f t="shared" si="52"/>
        <v>407265762.06450391</v>
      </c>
      <c r="J101" s="311"/>
      <c r="K101" s="47">
        <f t="shared" si="38"/>
        <v>2053</v>
      </c>
      <c r="L101" s="372">
        <f t="shared" si="53"/>
        <v>28960.512322026188</v>
      </c>
      <c r="M101" s="59">
        <f t="shared" si="54"/>
        <v>10570586.997539559</v>
      </c>
      <c r="N101" s="296">
        <f>M101*B120</f>
        <v>1585588.0496309339</v>
      </c>
      <c r="O101" s="59">
        <f t="shared" si="34"/>
        <v>8984998.947908625</v>
      </c>
      <c r="P101" s="372">
        <f t="shared" si="55"/>
        <v>28711.63345596219</v>
      </c>
      <c r="Q101" s="59">
        <f t="shared" si="35"/>
        <v>10479746.211426198</v>
      </c>
      <c r="R101" s="296">
        <f t="shared" si="56"/>
        <v>1571961.9317139299</v>
      </c>
      <c r="S101" s="59">
        <f t="shared" si="39"/>
        <v>8907784.2797122691</v>
      </c>
      <c r="T101" s="311"/>
      <c r="U101" s="311"/>
      <c r="V101" s="311"/>
      <c r="W101" s="311"/>
      <c r="X101" s="311"/>
      <c r="Y101" s="311"/>
      <c r="Z101" s="311"/>
      <c r="AA101" s="311"/>
      <c r="AB101" s="311"/>
      <c r="AC101" s="311"/>
      <c r="AD101" s="311"/>
      <c r="AE101" s="311"/>
      <c r="AF101" s="311"/>
      <c r="AG101" s="311"/>
    </row>
    <row r="102" spans="1:41">
      <c r="A102" s="47">
        <f t="shared" si="37"/>
        <v>2054</v>
      </c>
      <c r="B102" s="372">
        <f>B101*(1+$B$137)</f>
        <v>1340639.1399244776</v>
      </c>
      <c r="C102" s="59">
        <f t="shared" si="29"/>
        <v>489333286.07243431</v>
      </c>
      <c r="D102" s="296">
        <f>D101*(1+$B$137)</f>
        <v>73399992.910865158</v>
      </c>
      <c r="E102" s="59">
        <f>C102-D102</f>
        <v>415933293.16156912</v>
      </c>
      <c r="F102" s="372">
        <f>F101*(1+$B$137)</f>
        <v>1332392.4206139287</v>
      </c>
      <c r="G102" s="59">
        <f t="shared" si="31"/>
        <v>486323233.52408397</v>
      </c>
      <c r="H102" s="296">
        <f>H101*(1+$B$137)</f>
        <v>72948485.028612599</v>
      </c>
      <c r="I102" s="59">
        <f t="shared" si="52"/>
        <v>413374748.49547136</v>
      </c>
      <c r="J102" s="311"/>
      <c r="K102" s="47">
        <f t="shared" si="38"/>
        <v>2054</v>
      </c>
      <c r="L102" s="372">
        <f t="shared" si="53"/>
        <v>29394.920006856577</v>
      </c>
      <c r="M102" s="59">
        <f t="shared" si="54"/>
        <v>10729145.802502651</v>
      </c>
      <c r="N102" s="296">
        <f>N101*(1+$B$137)</f>
        <v>1609371.8703753978</v>
      </c>
      <c r="O102" s="59">
        <f>M102-N102</f>
        <v>9119773.9321272522</v>
      </c>
      <c r="P102" s="372">
        <f t="shared" si="55"/>
        <v>29142.307957801619</v>
      </c>
      <c r="Q102" s="59">
        <f t="shared" si="35"/>
        <v>10636942.404597592</v>
      </c>
      <c r="R102" s="296">
        <f t="shared" si="56"/>
        <v>1595541.3606896386</v>
      </c>
      <c r="S102" s="59">
        <f>Q102-R102</f>
        <v>9041401.0439079534</v>
      </c>
      <c r="T102" s="311"/>
      <c r="U102" s="311"/>
      <c r="V102" s="311"/>
      <c r="W102" s="311"/>
      <c r="X102" s="311"/>
      <c r="Y102" s="311"/>
      <c r="Z102" s="311"/>
      <c r="AA102" s="311"/>
      <c r="AB102" s="311"/>
      <c r="AC102" s="311"/>
      <c r="AD102" s="311"/>
      <c r="AE102" s="311"/>
      <c r="AF102" s="311"/>
      <c r="AG102" s="311"/>
    </row>
    <row r="103" spans="1:41">
      <c r="A103" s="47">
        <f t="shared" si="37"/>
        <v>2055</v>
      </c>
      <c r="B103" s="372">
        <f t="shared" ref="B103:B111" si="57">B102*(1+$B$137)</f>
        <v>1360748.7270233445</v>
      </c>
      <c r="C103" s="59">
        <f t="shared" si="29"/>
        <v>496673285.36352074</v>
      </c>
      <c r="D103" s="296">
        <f t="shared" ref="D103:D111" si="58">D102*(1+$B$137)</f>
        <v>74500992.804528132</v>
      </c>
      <c r="E103" s="59">
        <f t="shared" si="30"/>
        <v>422172292.55899262</v>
      </c>
      <c r="F103" s="372">
        <f t="shared" ref="F103:F111" si="59">F102*(1+$B$137)</f>
        <v>1352378.3069231375</v>
      </c>
      <c r="G103" s="59">
        <f t="shared" si="31"/>
        <v>493618082.02694517</v>
      </c>
      <c r="H103" s="296">
        <f t="shared" ref="H103:H111" si="60">H102*(1+$B$137)</f>
        <v>74042712.304041788</v>
      </c>
      <c r="I103" s="59">
        <f t="shared" si="52"/>
        <v>419575369.72290337</v>
      </c>
      <c r="J103" s="311"/>
      <c r="K103" s="47">
        <f t="shared" si="38"/>
        <v>2055</v>
      </c>
      <c r="L103" s="372">
        <f t="shared" si="53"/>
        <v>29835.843806959423</v>
      </c>
      <c r="M103" s="59">
        <f t="shared" si="54"/>
        <v>10890082.98954019</v>
      </c>
      <c r="N103" s="296">
        <f t="shared" ref="N103:N111" si="61">N102*(1+$B$137)</f>
        <v>1633512.4484310288</v>
      </c>
      <c r="O103" s="59">
        <f t="shared" ref="O103" si="62">M103-N103</f>
        <v>9256570.5411091615</v>
      </c>
      <c r="P103" s="372">
        <f t="shared" si="55"/>
        <v>29579.44257716864</v>
      </c>
      <c r="Q103" s="59">
        <f t="shared" si="35"/>
        <v>10796496.540666554</v>
      </c>
      <c r="R103" s="296">
        <f t="shared" si="56"/>
        <v>1619474.481099983</v>
      </c>
      <c r="S103" s="59">
        <f t="shared" ref="S103" si="63">Q103-R103</f>
        <v>9177022.0595665704</v>
      </c>
      <c r="T103" s="311"/>
      <c r="U103" s="311"/>
      <c r="V103" s="311"/>
      <c r="W103" s="311"/>
      <c r="X103" s="311"/>
      <c r="Y103" s="311"/>
      <c r="Z103" s="311"/>
      <c r="AA103" s="311"/>
      <c r="AB103" s="311"/>
      <c r="AC103" s="311"/>
      <c r="AD103" s="311"/>
      <c r="AE103" s="311"/>
      <c r="AF103" s="311"/>
      <c r="AG103" s="311"/>
    </row>
    <row r="104" spans="1:41">
      <c r="A104" s="47">
        <f t="shared" si="37"/>
        <v>2056</v>
      </c>
      <c r="B104" s="372">
        <f t="shared" si="57"/>
        <v>1381159.9579286946</v>
      </c>
      <c r="C104" s="59">
        <f t="shared" si="29"/>
        <v>504123384.64397353</v>
      </c>
      <c r="D104" s="296">
        <f t="shared" si="58"/>
        <v>75618507.696596041</v>
      </c>
      <c r="E104" s="59">
        <f t="shared" si="30"/>
        <v>428504876.9473775</v>
      </c>
      <c r="F104" s="372">
        <f t="shared" si="59"/>
        <v>1372663.9815269844</v>
      </c>
      <c r="G104" s="59">
        <f t="shared" si="31"/>
        <v>501022353.25734931</v>
      </c>
      <c r="H104" s="296">
        <f t="shared" si="60"/>
        <v>75153352.988602415</v>
      </c>
      <c r="I104" s="59">
        <f t="shared" si="52"/>
        <v>425869000.26874691</v>
      </c>
      <c r="J104" s="311"/>
      <c r="K104" s="47">
        <f t="shared" si="38"/>
        <v>2056</v>
      </c>
      <c r="L104" s="372">
        <f t="shared" si="53"/>
        <v>30283.381464063812</v>
      </c>
      <c r="M104" s="59">
        <f t="shared" si="54"/>
        <v>11053434.234383291</v>
      </c>
      <c r="N104" s="296">
        <f t="shared" si="61"/>
        <v>1658015.1351574941</v>
      </c>
      <c r="O104" s="59">
        <f>R121*365</f>
        <v>8576769.2347228155</v>
      </c>
      <c r="P104" s="372">
        <f t="shared" si="55"/>
        <v>30023.134215826169</v>
      </c>
      <c r="Q104" s="59">
        <f t="shared" si="35"/>
        <v>10958443.988776552</v>
      </c>
      <c r="R104" s="296">
        <f t="shared" si="56"/>
        <v>1643766.5983164825</v>
      </c>
      <c r="S104" s="59">
        <f>R130*365</f>
        <v>8503062.7830587365</v>
      </c>
      <c r="T104" s="311"/>
      <c r="U104" s="311"/>
      <c r="V104" s="311"/>
      <c r="W104" s="311"/>
      <c r="X104" s="311"/>
      <c r="Y104" s="311"/>
      <c r="Z104" s="311"/>
      <c r="AA104" s="311"/>
      <c r="AB104" s="311"/>
      <c r="AC104" s="311"/>
      <c r="AD104" s="311"/>
      <c r="AE104" s="311"/>
      <c r="AF104" s="311"/>
      <c r="AG104" s="311"/>
    </row>
    <row r="105" spans="1:41">
      <c r="A105" s="47">
        <f t="shared" si="37"/>
        <v>2057</v>
      </c>
      <c r="B105" s="372">
        <f t="shared" si="57"/>
        <v>1401877.3572976249</v>
      </c>
      <c r="C105" s="59">
        <f t="shared" si="29"/>
        <v>511685235.41363311</v>
      </c>
      <c r="D105" s="296">
        <f t="shared" si="58"/>
        <v>76752785.312044978</v>
      </c>
      <c r="E105" s="59">
        <f t="shared" si="30"/>
        <v>434932450.10158813</v>
      </c>
      <c r="F105" s="372">
        <f t="shared" si="59"/>
        <v>1393253.9412498891</v>
      </c>
      <c r="G105" s="59">
        <f t="shared" si="31"/>
        <v>508537688.5562095</v>
      </c>
      <c r="H105" s="296">
        <f t="shared" si="60"/>
        <v>76280653.283431441</v>
      </c>
      <c r="I105" s="59">
        <f t="shared" si="52"/>
        <v>432257035.27277803</v>
      </c>
      <c r="J105" s="311"/>
      <c r="K105" s="47">
        <f t="shared" si="38"/>
        <v>2057</v>
      </c>
      <c r="L105" s="372">
        <f t="shared" si="53"/>
        <v>30737.632186024766</v>
      </c>
      <c r="M105" s="59">
        <f t="shared" si="54"/>
        <v>11219235.747899041</v>
      </c>
      <c r="N105" s="296">
        <f t="shared" si="61"/>
        <v>1682885.3621848563</v>
      </c>
      <c r="O105" s="59">
        <f t="shared" ref="O105:O111" si="64">M105-N105</f>
        <v>9536350.3857141845</v>
      </c>
      <c r="P105" s="372">
        <f t="shared" si="55"/>
        <v>30473.48122906356</v>
      </c>
      <c r="Q105" s="59">
        <f t="shared" si="35"/>
        <v>11122820.6486082</v>
      </c>
      <c r="R105" s="296">
        <f t="shared" si="56"/>
        <v>1668423.0972912295</v>
      </c>
      <c r="S105" s="59">
        <f t="shared" ref="S105:S111" si="65">Q105-R105</f>
        <v>9454397.551316971</v>
      </c>
      <c r="T105" s="311"/>
      <c r="U105" s="311"/>
      <c r="V105" s="311"/>
      <c r="W105" s="311"/>
      <c r="X105" s="311"/>
      <c r="Y105" s="311"/>
      <c r="Z105" s="311"/>
      <c r="AA105" s="311"/>
      <c r="AB105" s="311"/>
      <c r="AC105" s="311"/>
      <c r="AD105" s="311"/>
      <c r="AE105" s="311"/>
      <c r="AF105" s="311"/>
      <c r="AG105" s="311"/>
    </row>
    <row r="106" spans="1:41">
      <c r="A106" s="47">
        <f t="shared" si="37"/>
        <v>2058</v>
      </c>
      <c r="B106" s="372">
        <f t="shared" si="57"/>
        <v>1422905.5176570893</v>
      </c>
      <c r="C106" s="59">
        <f t="shared" si="29"/>
        <v>519360513.94483757</v>
      </c>
      <c r="D106" s="296">
        <f t="shared" si="58"/>
        <v>77904077.091725647</v>
      </c>
      <c r="E106" s="59">
        <f t="shared" si="30"/>
        <v>441456436.85311192</v>
      </c>
      <c r="F106" s="372">
        <f t="shared" si="59"/>
        <v>1414152.7503686373</v>
      </c>
      <c r="G106" s="59">
        <f t="shared" si="31"/>
        <v>516165753.8845526</v>
      </c>
      <c r="H106" s="296">
        <f t="shared" si="60"/>
        <v>77424863.082682908</v>
      </c>
      <c r="I106" s="59">
        <f t="shared" si="52"/>
        <v>438740890.80186969</v>
      </c>
      <c r="J106" s="311"/>
      <c r="K106" s="47">
        <f t="shared" si="38"/>
        <v>2058</v>
      </c>
      <c r="L106" s="372">
        <f t="shared" si="53"/>
        <v>31198.696668815133</v>
      </c>
      <c r="M106" s="59">
        <f t="shared" si="54"/>
        <v>11387524.284117524</v>
      </c>
      <c r="N106" s="296">
        <f t="shared" si="61"/>
        <v>1708128.6426176289</v>
      </c>
      <c r="O106" s="59">
        <f t="shared" si="64"/>
        <v>9679395.6414998956</v>
      </c>
      <c r="P106" s="372">
        <f t="shared" si="55"/>
        <v>30930.58344749951</v>
      </c>
      <c r="Q106" s="59">
        <f t="shared" si="35"/>
        <v>11289662.958337322</v>
      </c>
      <c r="R106" s="296">
        <f t="shared" si="56"/>
        <v>1693449.4437505978</v>
      </c>
      <c r="S106" s="59">
        <f t="shared" si="65"/>
        <v>9596213.5145867243</v>
      </c>
      <c r="T106" s="311"/>
      <c r="U106" s="311"/>
      <c r="V106" s="311"/>
      <c r="W106" s="311"/>
      <c r="X106" s="311"/>
      <c r="Y106" s="311"/>
      <c r="Z106" s="311"/>
      <c r="AA106" s="311"/>
      <c r="AB106" s="311"/>
      <c r="AC106" s="311"/>
      <c r="AD106" s="311"/>
      <c r="AE106" s="311"/>
      <c r="AF106" s="311"/>
      <c r="AG106" s="311"/>
    </row>
    <row r="107" spans="1:41">
      <c r="A107" s="47">
        <f t="shared" si="37"/>
        <v>2059</v>
      </c>
      <c r="B107" s="372">
        <f t="shared" si="57"/>
        <v>1444249.1004219456</v>
      </c>
      <c r="C107" s="59">
        <f t="shared" si="29"/>
        <v>527150921.65401012</v>
      </c>
      <c r="D107" s="296">
        <f t="shared" si="58"/>
        <v>79072638.248101518</v>
      </c>
      <c r="E107" s="59">
        <f t="shared" si="30"/>
        <v>448078283.40590858</v>
      </c>
      <c r="F107" s="372">
        <f t="shared" si="59"/>
        <v>1435365.0416241668</v>
      </c>
      <c r="G107" s="59">
        <f t="shared" si="31"/>
        <v>523908240.19282085</v>
      </c>
      <c r="H107" s="296">
        <f t="shared" si="60"/>
        <v>78586236.028923139</v>
      </c>
      <c r="I107" s="59">
        <f t="shared" si="52"/>
        <v>445322004.16389769</v>
      </c>
      <c r="J107" s="311"/>
      <c r="K107" s="47">
        <f t="shared" si="38"/>
        <v>2059</v>
      </c>
      <c r="L107" s="372">
        <f t="shared" si="53"/>
        <v>31666.677118847358</v>
      </c>
      <c r="M107" s="59">
        <f t="shared" si="54"/>
        <v>11558337.148379285</v>
      </c>
      <c r="N107" s="296">
        <f t="shared" si="61"/>
        <v>1733750.5722568932</v>
      </c>
      <c r="O107" s="59">
        <f t="shared" si="64"/>
        <v>9824586.576122392</v>
      </c>
      <c r="P107" s="372">
        <f t="shared" si="55"/>
        <v>31394.542199211999</v>
      </c>
      <c r="Q107" s="59">
        <f t="shared" si="35"/>
        <v>11459007.902712381</v>
      </c>
      <c r="R107" s="296">
        <f t="shared" si="56"/>
        <v>1718851.1854068565</v>
      </c>
      <c r="S107" s="59">
        <f t="shared" si="65"/>
        <v>9740156.7173055243</v>
      </c>
      <c r="T107" s="311"/>
      <c r="U107" s="311"/>
      <c r="V107" s="311"/>
      <c r="W107" s="311"/>
      <c r="X107" s="311"/>
      <c r="Y107" s="311"/>
      <c r="Z107" s="311"/>
      <c r="AA107" s="311"/>
      <c r="AB107" s="311"/>
      <c r="AC107" s="311"/>
      <c r="AD107" s="311"/>
      <c r="AE107" s="311"/>
      <c r="AF107" s="311"/>
      <c r="AG107" s="311"/>
    </row>
    <row r="108" spans="1:41">
      <c r="A108" s="47">
        <f t="shared" si="37"/>
        <v>2060</v>
      </c>
      <c r="B108" s="372">
        <f t="shared" si="57"/>
        <v>1465912.8369282747</v>
      </c>
      <c r="C108" s="59">
        <f t="shared" si="29"/>
        <v>535058185.47882026</v>
      </c>
      <c r="D108" s="296">
        <f t="shared" si="58"/>
        <v>80258727.821823031</v>
      </c>
      <c r="E108" s="59">
        <f t="shared" si="30"/>
        <v>454799457.6569972</v>
      </c>
      <c r="F108" s="372">
        <f t="shared" si="59"/>
        <v>1456895.5172485292</v>
      </c>
      <c r="G108" s="59">
        <f t="shared" si="31"/>
        <v>531766863.79571319</v>
      </c>
      <c r="H108" s="296">
        <f t="shared" si="60"/>
        <v>79765029.569356978</v>
      </c>
      <c r="I108" s="59">
        <f t="shared" si="52"/>
        <v>452001834.22635621</v>
      </c>
      <c r="J108" s="311"/>
      <c r="K108" s="47">
        <f t="shared" si="38"/>
        <v>2060</v>
      </c>
      <c r="L108" s="372">
        <f t="shared" si="53"/>
        <v>32141.677275630063</v>
      </c>
      <c r="M108" s="59">
        <f t="shared" si="54"/>
        <v>11731712.205604972</v>
      </c>
      <c r="N108" s="296">
        <f t="shared" si="61"/>
        <v>1759756.8308407464</v>
      </c>
      <c r="O108" s="59">
        <f t="shared" si="64"/>
        <v>9971955.3747642264</v>
      </c>
      <c r="P108" s="372">
        <f t="shared" si="55"/>
        <v>31865.460332200175</v>
      </c>
      <c r="Q108" s="59">
        <f t="shared" si="35"/>
        <v>11630893.021253064</v>
      </c>
      <c r="R108" s="296">
        <f t="shared" si="56"/>
        <v>1744633.953187959</v>
      </c>
      <c r="S108" s="59">
        <f t="shared" si="65"/>
        <v>9886259.068065105</v>
      </c>
      <c r="T108" s="311"/>
      <c r="U108" s="311"/>
      <c r="V108" s="311"/>
      <c r="W108" s="311"/>
      <c r="X108" s="311"/>
      <c r="Y108" s="311"/>
      <c r="Z108" s="311"/>
      <c r="AA108" s="311"/>
      <c r="AB108" s="311"/>
      <c r="AC108" s="311"/>
      <c r="AD108" s="311"/>
      <c r="AE108" s="311"/>
      <c r="AF108" s="311"/>
      <c r="AG108" s="311"/>
    </row>
    <row r="109" spans="1:41">
      <c r="A109" s="47">
        <f t="shared" si="37"/>
        <v>2061</v>
      </c>
      <c r="B109" s="372">
        <f t="shared" si="57"/>
        <v>1487901.5294821986</v>
      </c>
      <c r="C109" s="59">
        <f t="shared" si="29"/>
        <v>543084058.26100254</v>
      </c>
      <c r="D109" s="296">
        <f t="shared" si="58"/>
        <v>81462608.739150375</v>
      </c>
      <c r="E109" s="59">
        <f t="shared" si="30"/>
        <v>461621449.52185214</v>
      </c>
      <c r="F109" s="372">
        <f t="shared" si="59"/>
        <v>1478748.9500072571</v>
      </c>
      <c r="G109" s="59">
        <f t="shared" si="31"/>
        <v>539743366.75264883</v>
      </c>
      <c r="H109" s="296">
        <f t="shared" si="60"/>
        <v>80961505.012897328</v>
      </c>
      <c r="I109" s="59">
        <f t="shared" si="52"/>
        <v>458781861.73975152</v>
      </c>
      <c r="J109" s="311"/>
      <c r="K109" s="47">
        <f t="shared" si="38"/>
        <v>2061</v>
      </c>
      <c r="L109" s="372">
        <f t="shared" si="53"/>
        <v>32623.802434764511</v>
      </c>
      <c r="M109" s="59">
        <f t="shared" si="54"/>
        <v>11907687.888689047</v>
      </c>
      <c r="N109" s="296">
        <f t="shared" si="61"/>
        <v>1786153.1833033573</v>
      </c>
      <c r="O109" s="59">
        <f t="shared" si="64"/>
        <v>10121534.705385689</v>
      </c>
      <c r="P109" s="372">
        <f t="shared" si="55"/>
        <v>32343.442237183175</v>
      </c>
      <c r="Q109" s="59">
        <f t="shared" si="35"/>
        <v>11805356.416571859</v>
      </c>
      <c r="R109" s="296">
        <f t="shared" si="56"/>
        <v>1770803.4624857781</v>
      </c>
      <c r="S109" s="59">
        <f t="shared" si="65"/>
        <v>10034552.95408608</v>
      </c>
      <c r="T109" s="311"/>
      <c r="U109" s="311"/>
      <c r="V109" s="311"/>
      <c r="W109" s="311"/>
      <c r="X109" s="311"/>
      <c r="Y109" s="311"/>
      <c r="Z109" s="311"/>
      <c r="AA109" s="311"/>
      <c r="AB109" s="311"/>
      <c r="AC109" s="311"/>
      <c r="AD109" s="311"/>
      <c r="AE109" s="311"/>
      <c r="AF109" s="311"/>
      <c r="AG109" s="311"/>
    </row>
    <row r="110" spans="1:41">
      <c r="A110" s="47">
        <f t="shared" si="37"/>
        <v>2062</v>
      </c>
      <c r="B110" s="372">
        <f t="shared" si="57"/>
        <v>1510220.0524244315</v>
      </c>
      <c r="C110" s="59">
        <f t="shared" si="29"/>
        <v>551230319.1349175</v>
      </c>
      <c r="D110" s="296">
        <f t="shared" si="58"/>
        <v>82684547.870237619</v>
      </c>
      <c r="E110" s="59">
        <f t="shared" si="30"/>
        <v>468545771.26467991</v>
      </c>
      <c r="F110" s="372">
        <f t="shared" si="59"/>
        <v>1500930.1842573658</v>
      </c>
      <c r="G110" s="59">
        <f t="shared" si="31"/>
        <v>547839517.25393856</v>
      </c>
      <c r="H110" s="296">
        <f t="shared" si="60"/>
        <v>82175927.588090777</v>
      </c>
      <c r="I110" s="59">
        <f t="shared" si="52"/>
        <v>465663589.66584778</v>
      </c>
      <c r="J110" s="311"/>
      <c r="K110" s="47">
        <f t="shared" si="38"/>
        <v>2062</v>
      </c>
      <c r="L110" s="372">
        <f t="shared" si="53"/>
        <v>33113.159471285973</v>
      </c>
      <c r="M110" s="59">
        <f t="shared" si="54"/>
        <v>12086303.207019379</v>
      </c>
      <c r="N110" s="296">
        <f t="shared" si="61"/>
        <v>1812945.4810529074</v>
      </c>
      <c r="O110" s="59">
        <f t="shared" si="64"/>
        <v>10273357.725966472</v>
      </c>
      <c r="P110" s="372">
        <f t="shared" si="55"/>
        <v>32828.593870740922</v>
      </c>
      <c r="Q110" s="59">
        <f t="shared" si="35"/>
        <v>11982436.762820438</v>
      </c>
      <c r="R110" s="296">
        <f t="shared" si="56"/>
        <v>1797365.5144230647</v>
      </c>
      <c r="S110" s="59">
        <f t="shared" si="65"/>
        <v>10185071.248397373</v>
      </c>
      <c r="T110" s="311"/>
      <c r="U110" s="311"/>
      <c r="V110" s="311"/>
      <c r="W110" s="311"/>
      <c r="X110" s="311"/>
      <c r="Y110" s="311"/>
      <c r="Z110" s="311"/>
      <c r="AA110" s="311"/>
      <c r="AB110" s="311"/>
      <c r="AC110" s="311"/>
      <c r="AD110" s="311"/>
      <c r="AE110" s="311"/>
      <c r="AF110" s="311"/>
      <c r="AG110" s="311"/>
    </row>
    <row r="111" spans="1:41">
      <c r="A111" s="60">
        <f t="shared" si="37"/>
        <v>2063</v>
      </c>
      <c r="B111" s="372">
        <f t="shared" si="57"/>
        <v>1532873.3532107978</v>
      </c>
      <c r="C111" s="61">
        <f t="shared" si="29"/>
        <v>559498773.92194116</v>
      </c>
      <c r="D111" s="296">
        <f t="shared" si="58"/>
        <v>83924816.088291168</v>
      </c>
      <c r="E111" s="61">
        <f t="shared" si="30"/>
        <v>475573957.83364999</v>
      </c>
      <c r="F111" s="372">
        <f t="shared" si="59"/>
        <v>1523444.1370212261</v>
      </c>
      <c r="G111" s="61">
        <f t="shared" si="31"/>
        <v>556057110.01274753</v>
      </c>
      <c r="H111" s="296">
        <f t="shared" si="60"/>
        <v>83408566.501912132</v>
      </c>
      <c r="I111" s="59">
        <f t="shared" si="52"/>
        <v>472648543.51083541</v>
      </c>
      <c r="J111" s="311"/>
      <c r="K111" s="60">
        <f t="shared" si="38"/>
        <v>2063</v>
      </c>
      <c r="L111" s="372">
        <f t="shared" si="53"/>
        <v>33609.856863355257</v>
      </c>
      <c r="M111" s="59">
        <f t="shared" si="54"/>
        <v>12267597.75512467</v>
      </c>
      <c r="N111" s="296">
        <f t="shared" si="61"/>
        <v>1840139.6632687009</v>
      </c>
      <c r="O111" s="59">
        <f t="shared" si="64"/>
        <v>10427458.091855969</v>
      </c>
      <c r="P111" s="372">
        <f t="shared" si="55"/>
        <v>33321.022778802035</v>
      </c>
      <c r="Q111" s="59">
        <f t="shared" si="35"/>
        <v>12162173.314262742</v>
      </c>
      <c r="R111" s="296">
        <f t="shared" si="56"/>
        <v>1824325.9971394103</v>
      </c>
      <c r="S111" s="59">
        <f t="shared" si="65"/>
        <v>10337847.317123331</v>
      </c>
      <c r="T111" s="311"/>
      <c r="U111" s="311"/>
      <c r="V111" s="311"/>
      <c r="W111" s="311"/>
      <c r="X111" s="311"/>
      <c r="Y111" s="311"/>
      <c r="Z111" s="311"/>
      <c r="AA111" s="311"/>
      <c r="AB111" s="311"/>
      <c r="AC111" s="311"/>
      <c r="AD111" s="311"/>
      <c r="AE111" s="311"/>
      <c r="AF111" s="311"/>
      <c r="AG111" s="311"/>
    </row>
    <row r="112" spans="1:41" s="373" customFormat="1">
      <c r="A112" s="726" t="s">
        <v>281</v>
      </c>
      <c r="B112" s="727"/>
      <c r="C112" s="727"/>
      <c r="D112" s="727"/>
      <c r="E112" s="727"/>
      <c r="F112" s="727"/>
      <c r="G112" s="727"/>
      <c r="H112" s="727"/>
      <c r="I112" s="727"/>
      <c r="J112" s="727"/>
      <c r="K112" s="727"/>
      <c r="L112" s="727"/>
      <c r="M112" s="727"/>
      <c r="N112" s="727"/>
      <c r="O112" s="727"/>
      <c r="P112" s="727"/>
      <c r="Q112" s="728"/>
      <c r="R112" s="323"/>
      <c r="S112" s="323"/>
      <c r="T112" s="323"/>
      <c r="U112" s="323"/>
      <c r="V112" s="311"/>
      <c r="W112" s="311"/>
      <c r="X112" s="311"/>
      <c r="Y112" s="311"/>
      <c r="Z112" s="311"/>
      <c r="AA112" s="311"/>
      <c r="AB112" s="311"/>
      <c r="AC112" s="311"/>
      <c r="AD112" s="311"/>
      <c r="AE112" s="311"/>
      <c r="AF112" s="311"/>
      <c r="AG112" s="311"/>
      <c r="AH112" s="311"/>
      <c r="AI112" s="311"/>
      <c r="AJ112" s="311"/>
      <c r="AK112" s="311"/>
      <c r="AL112" s="311"/>
      <c r="AM112" s="311"/>
      <c r="AN112" s="311"/>
      <c r="AO112" s="311"/>
    </row>
    <row r="113" spans="1:41" s="10" customFormat="1">
      <c r="A113" s="327"/>
      <c r="B113" s="312"/>
      <c r="C113" s="313"/>
      <c r="D113" s="322"/>
      <c r="E113" s="322"/>
      <c r="F113" s="312"/>
      <c r="G113" s="313"/>
      <c r="H113" s="322"/>
      <c r="I113" s="322"/>
      <c r="J113" s="323"/>
      <c r="K113" s="323"/>
      <c r="L113" s="323"/>
      <c r="M113" s="323"/>
      <c r="N113" s="323"/>
      <c r="O113" s="323"/>
      <c r="P113" s="323"/>
      <c r="Q113" s="323"/>
      <c r="R113" s="323"/>
      <c r="S113" s="323"/>
      <c r="T113" s="323"/>
      <c r="U113" s="323"/>
      <c r="V113" s="325"/>
      <c r="W113" s="325"/>
      <c r="X113" s="325"/>
      <c r="Y113" s="325"/>
      <c r="Z113" s="325"/>
      <c r="AA113" s="325"/>
      <c r="AB113" s="325"/>
      <c r="AC113" s="325"/>
      <c r="AD113" s="325"/>
      <c r="AE113" s="325"/>
      <c r="AF113" s="325"/>
      <c r="AG113" s="325"/>
      <c r="AH113" s="325"/>
      <c r="AI113" s="325"/>
      <c r="AJ113" s="325"/>
      <c r="AK113" s="325"/>
      <c r="AL113" s="325"/>
      <c r="AM113" s="325"/>
      <c r="AN113" s="325"/>
      <c r="AO113" s="325"/>
    </row>
    <row r="114" spans="1:41">
      <c r="A114" s="310"/>
      <c r="B114" s="310"/>
      <c r="C114" s="316"/>
      <c r="D114" s="322"/>
      <c r="E114" s="322"/>
      <c r="F114" s="312"/>
      <c r="G114" s="337"/>
      <c r="H114" s="316"/>
      <c r="I114" s="316"/>
      <c r="J114" s="316"/>
      <c r="K114" s="316"/>
      <c r="L114" s="317"/>
      <c r="M114" s="317"/>
      <c r="N114" s="317"/>
      <c r="O114" s="311"/>
      <c r="P114" s="311"/>
      <c r="Q114" s="311"/>
      <c r="R114" s="311"/>
      <c r="S114" s="311"/>
      <c r="T114" s="311"/>
      <c r="U114" s="311"/>
      <c r="V114" s="311"/>
      <c r="W114" s="311"/>
      <c r="X114" s="311"/>
      <c r="Y114" s="311"/>
      <c r="Z114" s="311"/>
      <c r="AA114" s="311"/>
      <c r="AB114" s="311"/>
      <c r="AC114" s="311"/>
      <c r="AD114" s="311"/>
      <c r="AE114" s="311"/>
      <c r="AF114" s="311"/>
      <c r="AG114" s="311"/>
      <c r="AH114" s="311"/>
      <c r="AI114" s="311"/>
      <c r="AJ114" s="311"/>
      <c r="AK114" s="311"/>
      <c r="AL114" s="311"/>
      <c r="AM114" s="311"/>
      <c r="AN114" s="311"/>
      <c r="AO114" s="311"/>
    </row>
    <row r="115" spans="1:41" ht="14.1" customHeight="1">
      <c r="A115" s="560" t="s">
        <v>282</v>
      </c>
      <c r="B115" s="560"/>
      <c r="C115" s="560"/>
      <c r="D115" s="560"/>
      <c r="E115" s="560"/>
      <c r="F115" s="560"/>
      <c r="G115" s="560"/>
      <c r="H115" s="560"/>
      <c r="I115" s="560"/>
      <c r="J115" s="560"/>
      <c r="K115" s="560"/>
      <c r="L115" s="560"/>
      <c r="M115" s="560"/>
      <c r="N115" s="560"/>
      <c r="O115" s="560"/>
      <c r="P115" s="560"/>
      <c r="Q115" s="560"/>
      <c r="R115" s="560"/>
      <c r="S115" s="311"/>
      <c r="T115" s="344"/>
      <c r="U115" s="344"/>
      <c r="V115" s="299"/>
      <c r="W115" s="344"/>
      <c r="X115" s="311"/>
      <c r="Y115" s="311"/>
      <c r="Z115" s="311"/>
      <c r="AA115" s="311"/>
      <c r="AB115" s="311"/>
      <c r="AC115" s="311"/>
      <c r="AD115" s="311"/>
      <c r="AE115" s="311"/>
      <c r="AF115" s="311"/>
      <c r="AG115" s="311"/>
      <c r="AH115" s="311"/>
      <c r="AI115" s="311"/>
      <c r="AJ115" s="311"/>
      <c r="AK115" s="311"/>
      <c r="AL115" s="311"/>
      <c r="AM115" s="311"/>
      <c r="AN115" s="311"/>
      <c r="AO115" s="311"/>
    </row>
    <row r="116" spans="1:41" ht="14.1" customHeight="1">
      <c r="A116" s="732"/>
      <c r="B116" s="564" t="s">
        <v>283</v>
      </c>
      <c r="C116" s="564"/>
      <c r="D116" s="564"/>
      <c r="E116" s="564"/>
      <c r="F116" s="564"/>
      <c r="G116" s="564"/>
      <c r="H116" s="564"/>
      <c r="I116" s="564"/>
      <c r="J116" s="564"/>
      <c r="K116" s="564"/>
      <c r="L116" s="564"/>
      <c r="M116" s="564"/>
      <c r="N116" s="564"/>
      <c r="O116" s="564"/>
      <c r="P116" s="564"/>
      <c r="Q116" s="564"/>
      <c r="R116" s="564"/>
      <c r="S116" s="311"/>
      <c r="T116" s="344"/>
      <c r="U116" s="299"/>
      <c r="V116" s="299"/>
      <c r="W116" s="299"/>
      <c r="X116" s="311"/>
      <c r="Y116" s="311"/>
      <c r="Z116" s="311"/>
      <c r="AA116" s="311"/>
      <c r="AB116" s="311"/>
      <c r="AC116" s="311"/>
      <c r="AD116" s="311"/>
      <c r="AE116" s="311"/>
      <c r="AF116" s="311"/>
      <c r="AG116" s="311"/>
      <c r="AH116" s="311"/>
      <c r="AI116" s="311"/>
      <c r="AJ116" s="311"/>
      <c r="AK116" s="311"/>
      <c r="AL116" s="311"/>
      <c r="AM116" s="311"/>
      <c r="AN116" s="311"/>
      <c r="AO116" s="311"/>
    </row>
    <row r="117" spans="1:41" ht="14.1" customHeight="1">
      <c r="A117" s="732"/>
      <c r="B117" s="580"/>
      <c r="C117" s="580"/>
      <c r="D117" s="580"/>
      <c r="E117" s="580"/>
      <c r="F117" s="580"/>
      <c r="G117" s="580"/>
      <c r="H117" s="580"/>
      <c r="I117" s="580"/>
      <c r="J117" s="580"/>
      <c r="K117" s="731"/>
      <c r="L117" s="731"/>
      <c r="M117" s="731"/>
      <c r="N117" s="731"/>
      <c r="O117" s="731"/>
      <c r="P117" s="731"/>
      <c r="Q117" s="580"/>
      <c r="R117" s="580" t="s">
        <v>51</v>
      </c>
      <c r="S117" s="311"/>
      <c r="T117" s="344"/>
      <c r="U117" s="299"/>
      <c r="V117" s="299"/>
      <c r="W117" s="299"/>
      <c r="X117" s="311"/>
      <c r="Y117" s="311"/>
      <c r="Z117" s="311"/>
      <c r="AA117" s="311"/>
      <c r="AB117" s="311"/>
      <c r="AC117" s="311"/>
      <c r="AD117" s="311"/>
      <c r="AE117" s="311"/>
      <c r="AF117" s="311"/>
      <c r="AG117" s="311"/>
      <c r="AH117" s="311"/>
      <c r="AI117" s="311"/>
      <c r="AJ117" s="311"/>
      <c r="AK117" s="311"/>
      <c r="AL117" s="311"/>
      <c r="AM117" s="311"/>
      <c r="AN117" s="311"/>
      <c r="AO117" s="311"/>
    </row>
    <row r="118" spans="1:41" ht="14.1" customHeight="1">
      <c r="A118" s="40" t="s">
        <v>284</v>
      </c>
      <c r="B118" s="532">
        <f>J147</f>
        <v>1071693.1936452426</v>
      </c>
      <c r="C118" s="530"/>
      <c r="D118" s="532"/>
      <c r="E118" s="530"/>
      <c r="F118" s="532"/>
      <c r="G118" s="530"/>
      <c r="H118" s="532"/>
      <c r="I118" s="530"/>
      <c r="J118" s="532"/>
      <c r="K118" s="538"/>
      <c r="L118" s="538"/>
      <c r="M118" s="538"/>
      <c r="N118" s="538"/>
      <c r="O118" s="538"/>
      <c r="P118" s="538"/>
      <c r="Q118" s="530"/>
      <c r="R118" s="540">
        <f>SUM(B118:Q118)</f>
        <v>1071693.1936452426</v>
      </c>
      <c r="S118" s="553">
        <f>R118+R119</f>
        <v>1263129.056142</v>
      </c>
      <c r="T118" s="554">
        <f>S118-S127</f>
        <v>7769.928886000067</v>
      </c>
      <c r="U118" s="299"/>
      <c r="V118" s="299"/>
      <c r="W118" s="299"/>
      <c r="X118" s="311"/>
      <c r="Y118" s="311"/>
      <c r="Z118" s="311"/>
      <c r="AA118" s="311"/>
      <c r="AB118" s="311"/>
      <c r="AC118" s="311"/>
      <c r="AD118" s="311"/>
      <c r="AE118" s="311"/>
      <c r="AF118" s="311"/>
      <c r="AG118" s="311"/>
      <c r="AH118" s="311"/>
      <c r="AI118" s="311"/>
      <c r="AJ118" s="311"/>
      <c r="AK118" s="311"/>
      <c r="AL118" s="311"/>
      <c r="AM118" s="311"/>
      <c r="AN118" s="311"/>
      <c r="AO118" s="311"/>
    </row>
    <row r="119" spans="1:41" ht="14.1" customHeight="1">
      <c r="A119" s="40" t="s">
        <v>285</v>
      </c>
      <c r="B119" s="532">
        <f>J148</f>
        <v>191435.86249675741</v>
      </c>
      <c r="C119" s="530"/>
      <c r="D119" s="532"/>
      <c r="E119" s="530"/>
      <c r="F119" s="532"/>
      <c r="G119" s="530"/>
      <c r="H119" s="532"/>
      <c r="I119" s="530"/>
      <c r="J119" s="532"/>
      <c r="K119" s="530"/>
      <c r="L119" s="530"/>
      <c r="M119" s="530"/>
      <c r="N119" s="530"/>
      <c r="O119" s="530"/>
      <c r="P119" s="530"/>
      <c r="Q119" s="530"/>
      <c r="R119" s="540">
        <f>SUM(B119:Q119)</f>
        <v>191435.86249675741</v>
      </c>
      <c r="S119" s="311"/>
      <c r="T119" s="554">
        <f>R119-R128</f>
        <v>1177.5859565553255</v>
      </c>
      <c r="U119" s="299"/>
      <c r="V119" s="299"/>
      <c r="W119" s="299"/>
      <c r="X119" s="311"/>
      <c r="Y119" s="311"/>
      <c r="Z119" s="311"/>
      <c r="AA119" s="311"/>
      <c r="AB119" s="311"/>
      <c r="AC119" s="311"/>
      <c r="AD119" s="311"/>
      <c r="AE119" s="311"/>
      <c r="AF119" s="311"/>
      <c r="AG119" s="311"/>
      <c r="AH119" s="311"/>
      <c r="AI119" s="311"/>
      <c r="AJ119" s="311"/>
      <c r="AK119" s="311"/>
      <c r="AL119" s="311"/>
      <c r="AM119" s="311"/>
      <c r="AN119" s="311"/>
      <c r="AO119" s="311"/>
    </row>
    <row r="120" spans="1:41" ht="14.1" customHeight="1">
      <c r="A120" s="40" t="s">
        <v>286</v>
      </c>
      <c r="B120" s="544">
        <v>0.15</v>
      </c>
      <c r="C120" s="543"/>
      <c r="D120" s="545"/>
      <c r="E120" s="543"/>
      <c r="F120" s="545"/>
      <c r="G120" s="543"/>
      <c r="H120" s="545"/>
      <c r="I120" s="543"/>
      <c r="J120" s="545"/>
      <c r="K120" s="530"/>
      <c r="L120" s="530"/>
      <c r="M120" s="530"/>
      <c r="N120" s="530"/>
      <c r="O120" s="530"/>
      <c r="P120" s="530"/>
      <c r="Q120" s="530"/>
      <c r="R120" s="543">
        <f t="shared" ref="R120" si="66">R119/R118</f>
        <v>0.1786293536544821</v>
      </c>
      <c r="S120" s="311"/>
      <c r="T120" s="344"/>
      <c r="U120" s="299"/>
      <c r="V120" s="299"/>
      <c r="W120" s="299"/>
      <c r="X120" s="311"/>
      <c r="Y120" s="311"/>
      <c r="Z120" s="311"/>
      <c r="AA120" s="311"/>
      <c r="AB120" s="311"/>
      <c r="AC120" s="311"/>
      <c r="AD120" s="311"/>
      <c r="AE120" s="311"/>
      <c r="AF120" s="311"/>
      <c r="AG120" s="311"/>
      <c r="AH120" s="311"/>
      <c r="AI120" s="311"/>
      <c r="AJ120" s="311"/>
      <c r="AK120" s="311"/>
      <c r="AL120" s="311"/>
      <c r="AM120" s="311"/>
      <c r="AN120" s="311"/>
      <c r="AO120" s="311"/>
    </row>
    <row r="121" spans="1:41" ht="14.1" customHeight="1">
      <c r="A121" s="40" t="s">
        <v>287</v>
      </c>
      <c r="B121" s="532">
        <f>J151</f>
        <v>23497.99790335018</v>
      </c>
      <c r="C121" s="530"/>
      <c r="D121" s="532"/>
      <c r="E121" s="530"/>
      <c r="F121" s="532"/>
      <c r="G121" s="530"/>
      <c r="H121" s="532"/>
      <c r="I121" s="530"/>
      <c r="J121" s="532"/>
      <c r="K121" s="530"/>
      <c r="L121" s="530"/>
      <c r="M121" s="530"/>
      <c r="N121" s="530"/>
      <c r="O121" s="530"/>
      <c r="P121" s="530"/>
      <c r="Q121" s="530"/>
      <c r="R121" s="540">
        <f>SUM(B121:Q121)</f>
        <v>23497.99790335018</v>
      </c>
      <c r="S121" s="553">
        <f>R121+R122</f>
        <v>27695.430080999999</v>
      </c>
      <c r="T121" s="554">
        <f>S121-S130</f>
        <v>238.00708899999881</v>
      </c>
      <c r="U121" s="299"/>
      <c r="V121" s="299"/>
      <c r="W121" s="299"/>
      <c r="X121" s="311"/>
      <c r="Y121" s="311"/>
      <c r="Z121" s="311"/>
      <c r="AA121" s="311"/>
      <c r="AB121" s="311"/>
      <c r="AC121" s="311"/>
      <c r="AD121" s="311"/>
      <c r="AE121" s="311"/>
      <c r="AF121" s="311"/>
      <c r="AG121" s="311"/>
      <c r="AH121" s="311"/>
      <c r="AI121" s="311"/>
      <c r="AJ121" s="311"/>
      <c r="AK121" s="311"/>
      <c r="AL121" s="311"/>
      <c r="AM121" s="311"/>
      <c r="AN121" s="311"/>
      <c r="AO121" s="311"/>
    </row>
    <row r="122" spans="1:41" ht="14.1" customHeight="1">
      <c r="A122" s="40" t="s">
        <v>288</v>
      </c>
      <c r="B122" s="532">
        <f>J152</f>
        <v>4197.4321776498182</v>
      </c>
      <c r="C122" s="530"/>
      <c r="D122" s="532"/>
      <c r="E122" s="530"/>
      <c r="F122" s="532"/>
      <c r="G122" s="530"/>
      <c r="H122" s="532"/>
      <c r="I122" s="530"/>
      <c r="J122" s="532"/>
      <c r="K122" s="530"/>
      <c r="L122" s="530"/>
      <c r="M122" s="530"/>
      <c r="N122" s="530"/>
      <c r="O122" s="530"/>
      <c r="P122" s="530"/>
      <c r="Q122" s="530"/>
      <c r="R122" s="540">
        <f>SUM(B122:Q122)</f>
        <v>4197.4321776498182</v>
      </c>
      <c r="S122" s="311"/>
      <c r="T122" s="344"/>
      <c r="U122" s="299"/>
      <c r="V122" s="299"/>
      <c r="W122" s="299"/>
      <c r="X122" s="311"/>
      <c r="Y122" s="311"/>
      <c r="Z122" s="311"/>
      <c r="AA122" s="311"/>
      <c r="AB122" s="311"/>
      <c r="AC122" s="311"/>
      <c r="AD122" s="311"/>
      <c r="AE122" s="311"/>
      <c r="AF122" s="311"/>
      <c r="AG122" s="311"/>
      <c r="AH122" s="311"/>
      <c r="AI122" s="311"/>
      <c r="AJ122" s="311"/>
      <c r="AK122" s="311"/>
      <c r="AL122" s="311"/>
      <c r="AM122" s="311"/>
      <c r="AN122" s="311"/>
      <c r="AO122" s="311"/>
    </row>
    <row r="123" spans="1:41" ht="14.1" customHeight="1">
      <c r="A123" s="40" t="s">
        <v>204</v>
      </c>
      <c r="B123" s="541">
        <v>63.1</v>
      </c>
      <c r="C123" s="550"/>
      <c r="D123" s="541"/>
      <c r="E123" s="550"/>
      <c r="F123" s="546"/>
      <c r="G123" s="550"/>
      <c r="H123" s="541"/>
      <c r="I123" s="550"/>
      <c r="J123" s="541"/>
      <c r="K123" s="539"/>
      <c r="L123" s="539"/>
      <c r="M123" s="539"/>
      <c r="N123" s="539"/>
      <c r="O123" s="539"/>
      <c r="P123" s="539"/>
      <c r="Q123" s="531"/>
      <c r="R123" s="540">
        <f>SUM(B123:Q123)</f>
        <v>63.1</v>
      </c>
      <c r="S123" s="311"/>
      <c r="T123" s="344"/>
      <c r="U123" s="299"/>
      <c r="V123" s="299"/>
      <c r="W123" s="299"/>
      <c r="X123" s="311"/>
      <c r="Y123" s="311"/>
      <c r="Z123" s="311"/>
      <c r="AA123" s="311"/>
      <c r="AB123" s="311"/>
      <c r="AC123" s="311"/>
      <c r="AD123" s="311"/>
      <c r="AE123" s="311"/>
      <c r="AF123" s="311"/>
      <c r="AG123" s="311"/>
      <c r="AH123" s="311"/>
      <c r="AI123" s="311"/>
      <c r="AJ123" s="311"/>
      <c r="AK123" s="311"/>
      <c r="AL123" s="311"/>
      <c r="AM123" s="311"/>
      <c r="AN123" s="311"/>
      <c r="AO123" s="311"/>
    </row>
    <row r="124" spans="1:41" ht="14.1" customHeight="1">
      <c r="A124" s="40" t="s">
        <v>207</v>
      </c>
      <c r="B124" s="544">
        <f>B123/SUM($B$123:$Q$123)</f>
        <v>1</v>
      </c>
      <c r="C124" s="543"/>
      <c r="D124" s="545"/>
      <c r="E124" s="543"/>
      <c r="F124" s="545"/>
      <c r="G124" s="543"/>
      <c r="H124" s="545"/>
      <c r="I124" s="543"/>
      <c r="J124" s="545"/>
      <c r="K124" s="538"/>
      <c r="L124" s="538"/>
      <c r="M124" s="538"/>
      <c r="N124" s="538"/>
      <c r="O124" s="538"/>
      <c r="P124" s="538"/>
      <c r="Q124" s="530"/>
      <c r="R124" s="540"/>
      <c r="S124" s="311"/>
      <c r="T124" s="344"/>
      <c r="U124" s="299"/>
      <c r="V124" s="299"/>
      <c r="W124" s="299"/>
      <c r="X124" s="311"/>
      <c r="Y124" s="311"/>
      <c r="Z124" s="311"/>
      <c r="AA124" s="311"/>
      <c r="AB124" s="311"/>
      <c r="AC124" s="311"/>
      <c r="AD124" s="311"/>
      <c r="AE124" s="311"/>
      <c r="AF124" s="311"/>
      <c r="AG124" s="311"/>
      <c r="AH124" s="311"/>
      <c r="AI124" s="311"/>
      <c r="AJ124" s="311"/>
      <c r="AK124" s="311"/>
      <c r="AL124" s="311"/>
      <c r="AM124" s="311"/>
      <c r="AN124" s="311"/>
      <c r="AO124" s="311"/>
    </row>
    <row r="125" spans="1:41" ht="14.1" customHeight="1">
      <c r="A125" s="732"/>
      <c r="B125" s="561" t="s">
        <v>289</v>
      </c>
      <c r="C125" s="562"/>
      <c r="D125" s="562"/>
      <c r="E125" s="562"/>
      <c r="F125" s="562"/>
      <c r="G125" s="562"/>
      <c r="H125" s="562"/>
      <c r="I125" s="562"/>
      <c r="J125" s="562"/>
      <c r="K125" s="562"/>
      <c r="L125" s="562"/>
      <c r="M125" s="562"/>
      <c r="N125" s="562"/>
      <c r="O125" s="562"/>
      <c r="P125" s="562"/>
      <c r="Q125" s="562"/>
      <c r="R125" s="563"/>
      <c r="S125" s="311"/>
      <c r="T125" s="345"/>
      <c r="U125" s="311"/>
      <c r="V125" s="311"/>
      <c r="W125" s="311"/>
      <c r="X125" s="311"/>
      <c r="Y125" s="311"/>
      <c r="Z125" s="311"/>
      <c r="AA125" s="311"/>
      <c r="AB125" s="311"/>
      <c r="AC125" s="311"/>
      <c r="AD125" s="311"/>
      <c r="AE125" s="311"/>
      <c r="AF125" s="311"/>
      <c r="AG125" s="311"/>
      <c r="AH125" s="311"/>
      <c r="AI125" s="311"/>
      <c r="AJ125" s="311"/>
      <c r="AK125" s="311"/>
      <c r="AL125" s="311"/>
      <c r="AM125" s="311"/>
      <c r="AN125" s="311"/>
      <c r="AO125" s="311"/>
    </row>
    <row r="126" spans="1:41" ht="14.1" customHeight="1">
      <c r="A126" s="732"/>
      <c r="B126" s="580"/>
      <c r="C126" s="580"/>
      <c r="D126" s="580"/>
      <c r="E126" s="580"/>
      <c r="F126" s="580"/>
      <c r="G126" s="580"/>
      <c r="H126" s="580"/>
      <c r="I126" s="580"/>
      <c r="J126" s="580"/>
      <c r="K126" s="580"/>
      <c r="L126" s="580"/>
      <c r="M126" s="580"/>
      <c r="N126" s="580"/>
      <c r="O126" s="580"/>
      <c r="P126" s="580"/>
      <c r="Q126" s="580"/>
      <c r="R126" s="580" t="s">
        <v>51</v>
      </c>
      <c r="S126" s="311"/>
      <c r="T126" s="344"/>
      <c r="U126" s="344"/>
      <c r="V126" s="311"/>
      <c r="W126" s="311"/>
      <c r="X126" s="311"/>
      <c r="Y126" s="311"/>
      <c r="Z126" s="311"/>
      <c r="AA126" s="311"/>
      <c r="AB126" s="311"/>
      <c r="AC126" s="311"/>
      <c r="AD126" s="311"/>
      <c r="AE126" s="311"/>
      <c r="AF126" s="311"/>
      <c r="AG126" s="311"/>
      <c r="AH126" s="311"/>
      <c r="AI126" s="311"/>
      <c r="AJ126" s="311"/>
      <c r="AK126" s="311"/>
      <c r="AL126" s="311"/>
      <c r="AM126" s="311"/>
      <c r="AN126" s="311"/>
      <c r="AO126" s="311"/>
    </row>
    <row r="127" spans="1:41" ht="14.1" customHeight="1">
      <c r="A127" s="40" t="s">
        <v>284</v>
      </c>
      <c r="B127" s="532">
        <f>M147</f>
        <v>1065100.8507157979</v>
      </c>
      <c r="C127" s="530"/>
      <c r="D127" s="532"/>
      <c r="E127" s="530"/>
      <c r="F127" s="532"/>
      <c r="G127" s="530"/>
      <c r="H127" s="532"/>
      <c r="I127" s="530"/>
      <c r="J127" s="532"/>
      <c r="K127" s="530"/>
      <c r="L127" s="530"/>
      <c r="M127" s="530"/>
      <c r="N127" s="530"/>
      <c r="O127" s="530"/>
      <c r="P127" s="530"/>
      <c r="Q127" s="530"/>
      <c r="R127" s="540">
        <f>SUM(B127:Q127)</f>
        <v>1065100.8507157979</v>
      </c>
      <c r="S127" s="553">
        <f>R127+R128</f>
        <v>1255359.1272559999</v>
      </c>
      <c r="T127" s="344"/>
      <c r="U127" s="299"/>
      <c r="V127" s="311"/>
      <c r="W127" s="311"/>
      <c r="X127" s="311"/>
      <c r="Y127" s="311"/>
      <c r="Z127" s="311"/>
      <c r="AA127" s="311"/>
      <c r="AB127" s="311"/>
      <c r="AC127" s="311"/>
      <c r="AD127" s="311"/>
      <c r="AE127" s="311"/>
      <c r="AF127" s="311"/>
      <c r="AG127" s="311"/>
      <c r="AH127" s="311"/>
      <c r="AI127" s="311"/>
      <c r="AJ127" s="311"/>
      <c r="AK127" s="311"/>
      <c r="AL127" s="311"/>
      <c r="AM127" s="311"/>
      <c r="AN127" s="311"/>
      <c r="AO127" s="311"/>
    </row>
    <row r="128" spans="1:41" ht="14.1" customHeight="1">
      <c r="A128" s="40" t="s">
        <v>285</v>
      </c>
      <c r="B128" s="532">
        <f>M148</f>
        <v>190258.27654020209</v>
      </c>
      <c r="C128" s="530"/>
      <c r="D128" s="532"/>
      <c r="E128" s="530"/>
      <c r="F128" s="532"/>
      <c r="G128" s="530"/>
      <c r="H128" s="532"/>
      <c r="I128" s="530"/>
      <c r="J128" s="532"/>
      <c r="K128" s="530"/>
      <c r="L128" s="530"/>
      <c r="M128" s="530"/>
      <c r="N128" s="530"/>
      <c r="O128" s="530"/>
      <c r="P128" s="530"/>
      <c r="Q128" s="530"/>
      <c r="R128" s="540">
        <f>SUM(B128:Q128)</f>
        <v>190258.27654020209</v>
      </c>
      <c r="S128" s="311"/>
      <c r="T128" s="344"/>
      <c r="U128" s="299"/>
      <c r="V128" s="311"/>
      <c r="W128" s="311"/>
      <c r="X128" s="311"/>
      <c r="Y128" s="311"/>
      <c r="Z128" s="311"/>
      <c r="AA128" s="311"/>
      <c r="AB128" s="311"/>
      <c r="AC128" s="311"/>
      <c r="AD128" s="311"/>
      <c r="AE128" s="311"/>
      <c r="AF128" s="311"/>
      <c r="AG128" s="311"/>
      <c r="AH128" s="311"/>
      <c r="AI128" s="311"/>
      <c r="AJ128" s="311"/>
      <c r="AK128" s="311"/>
      <c r="AL128" s="311"/>
      <c r="AM128" s="311"/>
      <c r="AN128" s="311"/>
      <c r="AO128" s="311"/>
    </row>
    <row r="129" spans="1:41" ht="14.1" customHeight="1">
      <c r="A129" s="40" t="s">
        <v>286</v>
      </c>
      <c r="B129" s="544">
        <v>0.15</v>
      </c>
      <c r="C129" s="543"/>
      <c r="D129" s="545"/>
      <c r="E129" s="543"/>
      <c r="F129" s="545"/>
      <c r="G129" s="543"/>
      <c r="H129" s="545"/>
      <c r="I129" s="543"/>
      <c r="J129" s="545"/>
      <c r="K129" s="543"/>
      <c r="L129" s="530"/>
      <c r="M129" s="530"/>
      <c r="N129" s="530"/>
      <c r="O129" s="530"/>
      <c r="P129" s="530"/>
      <c r="Q129" s="530"/>
      <c r="R129" s="543">
        <f t="shared" ref="R129" si="67">R128/R127</f>
        <v>0.17862935365448218</v>
      </c>
      <c r="S129" s="311"/>
      <c r="T129" s="344"/>
      <c r="U129" s="299"/>
      <c r="V129" s="311"/>
      <c r="W129" s="311"/>
      <c r="X129" s="311"/>
      <c r="Y129" s="311"/>
      <c r="Z129" s="311"/>
      <c r="AA129" s="311"/>
      <c r="AB129" s="311"/>
      <c r="AC129" s="311"/>
      <c r="AD129" s="311"/>
      <c r="AE129" s="311"/>
      <c r="AF129" s="311"/>
      <c r="AG129" s="311"/>
      <c r="AH129" s="311"/>
      <c r="AI129" s="311"/>
      <c r="AJ129" s="311"/>
      <c r="AK129" s="311"/>
      <c r="AL129" s="311"/>
      <c r="AM129" s="311"/>
      <c r="AN129" s="311"/>
      <c r="AO129" s="311"/>
    </row>
    <row r="130" spans="1:41" ht="14.1" customHeight="1">
      <c r="A130" s="40" t="s">
        <v>287</v>
      </c>
      <c r="B130" s="532">
        <f>M151</f>
        <v>23296.062419339003</v>
      </c>
      <c r="C130" s="530"/>
      <c r="D130" s="532"/>
      <c r="E130" s="530"/>
      <c r="F130" s="532"/>
      <c r="G130" s="530"/>
      <c r="H130" s="532"/>
      <c r="I130" s="530"/>
      <c r="J130" s="532"/>
      <c r="K130" s="530"/>
      <c r="L130" s="530"/>
      <c r="M130" s="530"/>
      <c r="N130" s="530"/>
      <c r="O130" s="530"/>
      <c r="P130" s="530"/>
      <c r="Q130" s="530"/>
      <c r="R130" s="540">
        <f>SUM(B130:Q130)</f>
        <v>23296.062419339003</v>
      </c>
      <c r="S130" s="553">
        <f>R130+R131</f>
        <v>27457.422992</v>
      </c>
      <c r="T130" s="344"/>
      <c r="U130" s="299"/>
      <c r="V130" s="311"/>
      <c r="W130" s="311"/>
      <c r="X130" s="311"/>
      <c r="Y130" s="311"/>
      <c r="Z130" s="311"/>
      <c r="AA130" s="311"/>
      <c r="AB130" s="311"/>
      <c r="AC130" s="311"/>
      <c r="AD130" s="311"/>
      <c r="AE130" s="311"/>
      <c r="AF130" s="311"/>
      <c r="AG130" s="311"/>
      <c r="AH130" s="311"/>
      <c r="AI130" s="311"/>
      <c r="AJ130" s="311"/>
      <c r="AK130" s="311"/>
      <c r="AL130" s="311"/>
      <c r="AM130" s="311"/>
      <c r="AN130" s="311"/>
      <c r="AO130" s="311"/>
    </row>
    <row r="131" spans="1:41" ht="14.1" customHeight="1">
      <c r="A131" s="40" t="s">
        <v>288</v>
      </c>
      <c r="B131" s="532">
        <f>M152</f>
        <v>4161.3605726609967</v>
      </c>
      <c r="C131" s="530"/>
      <c r="D131" s="532"/>
      <c r="E131" s="530"/>
      <c r="F131" s="532"/>
      <c r="G131" s="530"/>
      <c r="H131" s="532"/>
      <c r="I131" s="530"/>
      <c r="J131" s="532"/>
      <c r="K131" s="530"/>
      <c r="L131" s="530"/>
      <c r="M131" s="530"/>
      <c r="N131" s="530"/>
      <c r="O131" s="530"/>
      <c r="P131" s="530"/>
      <c r="Q131" s="530"/>
      <c r="R131" s="540">
        <f>SUM(B131:Q131)</f>
        <v>4161.3605726609967</v>
      </c>
      <c r="S131" s="311"/>
      <c r="T131" s="554">
        <f>R122-R131</f>
        <v>36.071604988821491</v>
      </c>
      <c r="U131" s="299"/>
      <c r="V131" s="311"/>
      <c r="W131" s="311"/>
      <c r="X131" s="311"/>
      <c r="Y131" s="311"/>
      <c r="Z131" s="311"/>
      <c r="AA131" s="311"/>
      <c r="AB131" s="311"/>
      <c r="AC131" s="311"/>
      <c r="AD131" s="311"/>
      <c r="AE131" s="311"/>
      <c r="AF131" s="311"/>
      <c r="AG131" s="311"/>
      <c r="AH131" s="311"/>
      <c r="AI131" s="311"/>
      <c r="AJ131" s="311"/>
      <c r="AK131" s="311"/>
      <c r="AL131" s="311"/>
      <c r="AM131" s="311"/>
      <c r="AN131" s="311"/>
      <c r="AO131" s="311"/>
    </row>
    <row r="132" spans="1:41" ht="14.1" customHeight="1">
      <c r="A132" s="40" t="s">
        <v>204</v>
      </c>
      <c r="B132" s="541">
        <v>63.1</v>
      </c>
      <c r="C132" s="550"/>
      <c r="D132" s="541"/>
      <c r="E132" s="550"/>
      <c r="F132" s="546"/>
      <c r="G132" s="550"/>
      <c r="H132" s="541"/>
      <c r="I132" s="550"/>
      <c r="J132" s="541"/>
      <c r="K132" s="551"/>
      <c r="L132" s="542"/>
      <c r="M132" s="542"/>
      <c r="N132" s="542"/>
      <c r="O132" s="542"/>
      <c r="P132" s="542"/>
      <c r="Q132" s="542"/>
      <c r="R132" s="540">
        <f>SUM(B132:Q132)</f>
        <v>63.1</v>
      </c>
      <c r="S132" s="311"/>
      <c r="T132" s="344"/>
      <c r="U132" s="299"/>
      <c r="V132" s="311"/>
      <c r="W132" s="311"/>
      <c r="X132" s="311"/>
      <c r="Y132" s="311"/>
      <c r="Z132" s="311"/>
      <c r="AA132" s="311"/>
      <c r="AB132" s="311"/>
      <c r="AC132" s="311"/>
      <c r="AD132" s="311"/>
      <c r="AE132" s="311"/>
      <c r="AF132" s="311"/>
      <c r="AG132" s="311"/>
      <c r="AH132" s="311"/>
      <c r="AI132" s="311"/>
      <c r="AJ132" s="311"/>
      <c r="AK132" s="311"/>
      <c r="AL132" s="311"/>
      <c r="AM132" s="311"/>
      <c r="AN132" s="311"/>
      <c r="AO132" s="311"/>
    </row>
    <row r="133" spans="1:41" ht="14.1" customHeight="1">
      <c r="A133" s="40" t="s">
        <v>207</v>
      </c>
      <c r="B133" s="544">
        <f>B132/SUM($B$123:$Q$123)</f>
        <v>1</v>
      </c>
      <c r="C133" s="543"/>
      <c r="D133" s="545"/>
      <c r="E133" s="543"/>
      <c r="F133" s="545"/>
      <c r="G133" s="543"/>
      <c r="H133" s="545"/>
      <c r="I133" s="543"/>
      <c r="J133" s="545"/>
      <c r="K133" s="552"/>
      <c r="L133" s="531"/>
      <c r="M133" s="531"/>
      <c r="N133" s="531"/>
      <c r="O133" s="531"/>
      <c r="P133" s="531"/>
      <c r="Q133" s="531"/>
      <c r="R133" s="540"/>
      <c r="S133" s="311"/>
      <c r="T133" s="344"/>
      <c r="U133" s="299"/>
      <c r="V133" s="311"/>
      <c r="W133" s="311"/>
      <c r="X133" s="311"/>
      <c r="Y133" s="311"/>
      <c r="Z133" s="311"/>
      <c r="AA133" s="311"/>
      <c r="AB133" s="311"/>
      <c r="AC133" s="311"/>
      <c r="AD133" s="311"/>
      <c r="AE133" s="311"/>
      <c r="AF133" s="311"/>
      <c r="AG133" s="311"/>
      <c r="AH133" s="311"/>
      <c r="AI133" s="311"/>
      <c r="AJ133" s="311"/>
      <c r="AK133" s="311"/>
      <c r="AL133" s="311"/>
      <c r="AM133" s="311"/>
      <c r="AN133" s="311"/>
      <c r="AO133" s="311"/>
    </row>
    <row r="134" spans="1:41" ht="14.1" customHeight="1">
      <c r="A134" s="726" t="s">
        <v>281</v>
      </c>
      <c r="B134" s="727"/>
      <c r="C134" s="727"/>
      <c r="D134" s="727"/>
      <c r="E134" s="727"/>
      <c r="F134" s="727"/>
      <c r="G134" s="727"/>
      <c r="H134" s="727"/>
      <c r="I134" s="727"/>
      <c r="J134" s="727"/>
      <c r="K134" s="727"/>
      <c r="L134" s="727"/>
      <c r="M134" s="727"/>
      <c r="N134" s="727"/>
      <c r="O134" s="727"/>
      <c r="P134" s="727"/>
      <c r="Q134" s="728"/>
      <c r="R134" s="565"/>
      <c r="S134" s="311"/>
      <c r="T134" s="311"/>
      <c r="U134" s="311"/>
      <c r="V134" s="311"/>
      <c r="W134" s="311"/>
      <c r="X134" s="311"/>
      <c r="Y134" s="311"/>
      <c r="Z134" s="311"/>
      <c r="AA134" s="311"/>
      <c r="AB134" s="311"/>
      <c r="AC134" s="311"/>
      <c r="AD134" s="311"/>
      <c r="AE134" s="311"/>
      <c r="AF134" s="311"/>
      <c r="AG134" s="311"/>
      <c r="AH134" s="311"/>
      <c r="AI134" s="311"/>
      <c r="AJ134" s="311"/>
      <c r="AK134" s="311"/>
      <c r="AL134" s="311"/>
      <c r="AM134" s="311"/>
      <c r="AN134" s="311"/>
      <c r="AO134" s="311"/>
    </row>
    <row r="135" spans="1:41" ht="14.1" customHeight="1">
      <c r="A135" s="369"/>
      <c r="B135" s="369"/>
      <c r="C135" s="369"/>
      <c r="D135" s="310"/>
      <c r="E135" s="310"/>
      <c r="F135" s="310"/>
      <c r="G135" s="310"/>
      <c r="H135" s="310"/>
      <c r="I135" s="310"/>
      <c r="J135" s="310"/>
      <c r="K135" s="310"/>
      <c r="L135" s="310"/>
      <c r="M135" s="310"/>
      <c r="N135" s="310"/>
      <c r="O135" s="310"/>
      <c r="P135" s="310"/>
      <c r="Q135" s="310"/>
      <c r="R135" s="310"/>
      <c r="S135" s="311"/>
      <c r="T135" s="311"/>
      <c r="U135" s="311"/>
      <c r="V135" s="311"/>
      <c r="W135" s="311"/>
      <c r="X135" s="311"/>
      <c r="Y135" s="311"/>
      <c r="Z135" s="311"/>
      <c r="AA135" s="311"/>
      <c r="AB135" s="311"/>
      <c r="AC135" s="311"/>
      <c r="AD135" s="311"/>
      <c r="AE135" s="311"/>
      <c r="AF135" s="311"/>
      <c r="AG135" s="311"/>
      <c r="AH135" s="311"/>
      <c r="AI135" s="311"/>
      <c r="AJ135" s="311"/>
      <c r="AK135" s="311"/>
      <c r="AL135" s="311"/>
      <c r="AM135" s="311"/>
      <c r="AN135" s="311"/>
      <c r="AO135" s="311"/>
    </row>
    <row r="136" spans="1:41" ht="14.1" customHeight="1">
      <c r="A136" s="729" t="s">
        <v>290</v>
      </c>
      <c r="B136" s="730"/>
      <c r="C136" s="368"/>
      <c r="D136" s="310"/>
      <c r="E136" s="310"/>
      <c r="F136" s="310"/>
      <c r="G136" s="310"/>
      <c r="H136" s="310"/>
      <c r="I136" s="310"/>
      <c r="J136" s="310"/>
      <c r="K136" s="310"/>
      <c r="L136" s="310"/>
      <c r="M136" s="310"/>
      <c r="N136" s="310"/>
      <c r="O136" s="310"/>
      <c r="P136" s="310"/>
      <c r="Q136" s="310"/>
      <c r="R136" s="310"/>
      <c r="S136" s="311"/>
      <c r="T136" s="311"/>
      <c r="U136" s="311"/>
      <c r="V136" s="311"/>
      <c r="W136" s="311"/>
      <c r="X136" s="311"/>
      <c r="Y136" s="311"/>
      <c r="Z136" s="311"/>
      <c r="AA136" s="311"/>
      <c r="AB136" s="311"/>
      <c r="AC136" s="311"/>
      <c r="AD136" s="311"/>
      <c r="AE136" s="311"/>
      <c r="AF136" s="311"/>
      <c r="AG136" s="311"/>
      <c r="AH136" s="311"/>
      <c r="AI136" s="311"/>
      <c r="AJ136" s="311"/>
      <c r="AK136" s="311"/>
      <c r="AL136" s="311"/>
      <c r="AM136" s="311"/>
      <c r="AN136" s="311"/>
      <c r="AO136" s="311"/>
    </row>
    <row r="137" spans="1:41" ht="14.1" customHeight="1">
      <c r="A137" s="40" t="s">
        <v>291</v>
      </c>
      <c r="B137" s="452">
        <v>1.4999999999999999E-2</v>
      </c>
      <c r="C137" s="368"/>
      <c r="D137" s="310"/>
      <c r="E137" s="310"/>
      <c r="F137" s="310"/>
      <c r="G137" s="310"/>
      <c r="H137" s="310"/>
      <c r="I137" s="310"/>
      <c r="J137" s="310"/>
      <c r="K137" s="310"/>
      <c r="L137" s="310"/>
      <c r="M137" s="310"/>
      <c r="N137" s="310"/>
      <c r="O137" s="310"/>
      <c r="P137" s="310"/>
      <c r="Q137" s="310"/>
      <c r="R137" s="310"/>
      <c r="S137" s="311"/>
      <c r="T137" s="311"/>
      <c r="U137" s="311"/>
      <c r="V137" s="311"/>
      <c r="W137" s="311"/>
      <c r="X137" s="311"/>
      <c r="Y137" s="311"/>
      <c r="Z137" s="311"/>
      <c r="AA137" s="311"/>
      <c r="AB137" s="311"/>
      <c r="AC137" s="311"/>
      <c r="AD137" s="311"/>
      <c r="AE137" s="311"/>
      <c r="AF137" s="311"/>
      <c r="AG137" s="311"/>
      <c r="AH137" s="311"/>
      <c r="AI137" s="311"/>
      <c r="AJ137" s="311"/>
      <c r="AK137" s="311"/>
      <c r="AL137" s="311"/>
      <c r="AM137" s="311"/>
      <c r="AN137" s="311"/>
      <c r="AO137" s="311"/>
    </row>
    <row r="138" spans="1:41" ht="18.600000000000001" customHeight="1">
      <c r="A138" s="40" t="s">
        <v>292</v>
      </c>
      <c r="B138" s="452">
        <v>1.4999999999999999E-2</v>
      </c>
      <c r="C138" s="368"/>
      <c r="D138" s="310"/>
      <c r="E138" s="310"/>
      <c r="F138" s="310"/>
      <c r="G138" s="310"/>
      <c r="H138" s="310"/>
      <c r="I138" s="310"/>
      <c r="J138" s="310" t="s">
        <v>293</v>
      </c>
      <c r="K138" s="310"/>
      <c r="L138" s="310"/>
      <c r="M138" s="310" t="s">
        <v>106</v>
      </c>
      <c r="N138" s="310"/>
      <c r="O138" s="310"/>
      <c r="P138" s="310"/>
      <c r="Q138" s="310"/>
      <c r="R138" s="310"/>
      <c r="S138" s="311"/>
      <c r="T138" s="311"/>
      <c r="U138" s="311"/>
      <c r="V138" s="311"/>
      <c r="W138" s="311"/>
      <c r="X138" s="311"/>
      <c r="Y138" s="311"/>
      <c r="Z138" s="311"/>
      <c r="AA138" s="311"/>
      <c r="AB138" s="311"/>
      <c r="AC138" s="311"/>
      <c r="AD138" s="311"/>
      <c r="AE138" s="311"/>
      <c r="AF138" s="311"/>
      <c r="AG138" s="311"/>
      <c r="AH138" s="311"/>
      <c r="AI138" s="311"/>
      <c r="AJ138" s="311"/>
      <c r="AK138" s="311"/>
      <c r="AL138" s="311"/>
      <c r="AM138" s="311"/>
      <c r="AN138" s="311"/>
      <c r="AO138" s="311"/>
    </row>
    <row r="139" spans="1:41" ht="14.1" customHeight="1">
      <c r="A139" s="310"/>
      <c r="B139" s="310"/>
      <c r="C139" s="310"/>
      <c r="D139" s="310"/>
      <c r="E139" s="310"/>
      <c r="F139" s="310"/>
      <c r="G139" s="310"/>
      <c r="H139" s="310"/>
      <c r="I139" s="310" t="s">
        <v>51</v>
      </c>
      <c r="J139" s="310">
        <v>2029036.0270140001</v>
      </c>
      <c r="K139" s="310"/>
      <c r="L139" s="310" t="s">
        <v>51</v>
      </c>
      <c r="M139" s="310"/>
      <c r="N139" s="310"/>
      <c r="O139" s="310"/>
      <c r="P139" s="310"/>
      <c r="Q139" s="310"/>
      <c r="R139" s="310"/>
      <c r="S139" s="311"/>
      <c r="T139" s="311"/>
      <c r="U139" s="311"/>
      <c r="V139" s="311"/>
      <c r="W139" s="311"/>
      <c r="X139" s="311"/>
      <c r="Y139" s="311"/>
      <c r="Z139" s="311"/>
      <c r="AA139" s="311"/>
      <c r="AB139" s="311"/>
      <c r="AC139" s="311"/>
      <c r="AD139" s="311"/>
      <c r="AE139" s="311"/>
      <c r="AF139" s="311"/>
      <c r="AG139" s="311"/>
      <c r="AH139" s="311"/>
      <c r="AI139" s="311"/>
      <c r="AJ139" s="311"/>
      <c r="AK139" s="311"/>
      <c r="AL139" s="311"/>
      <c r="AM139" s="311"/>
      <c r="AN139" s="311"/>
      <c r="AO139" s="311"/>
    </row>
    <row r="140" spans="1:41" ht="14.1" customHeight="1">
      <c r="A140" s="312"/>
      <c r="B140" s="312"/>
      <c r="C140" s="313"/>
      <c r="D140" s="314"/>
      <c r="E140" s="312"/>
      <c r="F140" s="312"/>
      <c r="G140" s="315"/>
      <c r="H140" s="312"/>
      <c r="I140" s="312"/>
      <c r="J140" s="312"/>
      <c r="K140" s="316"/>
      <c r="L140" s="312"/>
      <c r="M140" s="312"/>
      <c r="N140" s="316"/>
      <c r="O140" s="317"/>
      <c r="P140" s="311"/>
      <c r="Q140" s="311"/>
      <c r="R140" s="311"/>
      <c r="S140" s="311"/>
      <c r="T140" s="311"/>
      <c r="U140" s="311"/>
      <c r="V140" s="311"/>
      <c r="W140" s="311"/>
      <c r="X140" s="311"/>
      <c r="Y140" s="311"/>
      <c r="Z140" s="311"/>
      <c r="AA140" s="311"/>
      <c r="AB140" s="311"/>
      <c r="AC140" s="311"/>
      <c r="AD140" s="311"/>
      <c r="AE140" s="311"/>
      <c r="AF140" s="311"/>
      <c r="AG140" s="311"/>
      <c r="AH140" s="311"/>
      <c r="AI140" s="311"/>
      <c r="AJ140" s="311"/>
      <c r="AK140" s="311"/>
      <c r="AL140" s="311"/>
      <c r="AM140" s="311"/>
      <c r="AN140" s="311"/>
      <c r="AO140" s="311"/>
    </row>
    <row r="141" spans="1:41" ht="14.1" customHeight="1">
      <c r="A141" s="453">
        <v>35.700000000000003</v>
      </c>
      <c r="B141" s="311" t="s">
        <v>294</v>
      </c>
      <c r="C141" s="314"/>
      <c r="D141" s="315"/>
      <c r="E141" s="312"/>
      <c r="F141" s="312"/>
      <c r="G141" s="315"/>
      <c r="H141" s="312"/>
      <c r="I141" s="312"/>
      <c r="J141" s="312"/>
      <c r="K141" s="316"/>
      <c r="L141" s="312"/>
      <c r="M141" s="312"/>
      <c r="N141" s="316"/>
      <c r="O141" s="317"/>
      <c r="P141" s="311"/>
      <c r="Q141" s="311"/>
      <c r="R141" s="311"/>
      <c r="S141" s="311"/>
      <c r="T141" s="311"/>
      <c r="U141" s="311"/>
      <c r="V141" s="311"/>
      <c r="W141" s="311"/>
      <c r="X141" s="311"/>
      <c r="Y141" s="311"/>
      <c r="Z141" s="311"/>
      <c r="AA141" s="311"/>
      <c r="AB141" s="311"/>
      <c r="AC141" s="311"/>
      <c r="AD141" s="311"/>
      <c r="AE141" s="311"/>
      <c r="AF141" s="311"/>
      <c r="AG141" s="311"/>
      <c r="AH141" s="311"/>
      <c r="AI141" s="311"/>
      <c r="AJ141" s="311"/>
      <c r="AK141" s="311"/>
      <c r="AL141" s="311"/>
      <c r="AM141" s="311"/>
      <c r="AN141" s="311"/>
      <c r="AO141" s="311"/>
    </row>
    <row r="142" spans="1:41" ht="14.1" customHeight="1">
      <c r="A142" s="453">
        <v>21.1</v>
      </c>
      <c r="B142" s="311" t="s">
        <v>295</v>
      </c>
      <c r="C142" s="314"/>
      <c r="D142" s="314"/>
      <c r="E142" s="312"/>
      <c r="F142" s="312"/>
      <c r="G142" s="315"/>
      <c r="H142" s="312"/>
      <c r="I142" s="312" t="s">
        <v>296</v>
      </c>
      <c r="J142" s="312">
        <v>1721521.7156460001</v>
      </c>
      <c r="K142" s="558">
        <f>J142/J139</f>
        <v>0.84844314872981885</v>
      </c>
      <c r="L142" s="312" t="s">
        <v>296</v>
      </c>
      <c r="M142" s="312"/>
      <c r="N142" s="558" t="e">
        <f>M142/M139</f>
        <v>#DIV/0!</v>
      </c>
      <c r="O142" s="310"/>
      <c r="P142" s="310"/>
      <c r="Q142" s="319"/>
      <c r="R142" s="316"/>
      <c r="S142" s="316"/>
      <c r="T142" s="316"/>
      <c r="U142" s="317"/>
      <c r="V142" s="317"/>
      <c r="W142" s="317"/>
      <c r="X142" s="311"/>
      <c r="Y142" s="311"/>
      <c r="Z142" s="311"/>
      <c r="AA142" s="311"/>
      <c r="AB142" s="311"/>
      <c r="AC142" s="311"/>
      <c r="AD142" s="311"/>
      <c r="AE142" s="311"/>
      <c r="AF142" s="311"/>
      <c r="AG142" s="311"/>
      <c r="AH142" s="311"/>
      <c r="AI142" s="311"/>
      <c r="AJ142" s="311"/>
      <c r="AK142" s="311"/>
      <c r="AL142" s="311"/>
      <c r="AM142" s="311"/>
      <c r="AN142" s="311"/>
      <c r="AO142" s="311"/>
    </row>
    <row r="143" spans="1:41">
      <c r="A143" s="536"/>
      <c r="B143" s="537"/>
      <c r="C143" s="320"/>
      <c r="D143" s="314"/>
      <c r="E143" s="321"/>
      <c r="F143" s="322"/>
      <c r="G143" s="315"/>
      <c r="H143" s="312"/>
      <c r="I143" s="312" t="s">
        <v>171</v>
      </c>
      <c r="J143" s="312">
        <f>J139-J142</f>
        <v>307514.311368</v>
      </c>
      <c r="K143" s="557">
        <f>1-K142</f>
        <v>0.15155685127018115</v>
      </c>
      <c r="L143" s="312" t="s">
        <v>171</v>
      </c>
      <c r="M143" s="312">
        <f>M139-M142</f>
        <v>0</v>
      </c>
      <c r="N143" s="557" t="e">
        <f>1-N142</f>
        <v>#DIV/0!</v>
      </c>
      <c r="O143" s="324"/>
      <c r="P143" s="323"/>
      <c r="Q143" s="324"/>
      <c r="R143" s="311"/>
      <c r="S143" s="311"/>
      <c r="T143" s="311"/>
      <c r="U143" s="311"/>
      <c r="V143" s="311"/>
      <c r="W143" s="311"/>
      <c r="X143" s="311"/>
      <c r="Y143" s="311"/>
      <c r="Z143" s="311"/>
      <c r="AA143" s="311"/>
      <c r="AB143" s="311"/>
      <c r="AC143" s="311"/>
      <c r="AD143" s="311"/>
      <c r="AE143" s="311"/>
      <c r="AF143" s="311"/>
      <c r="AG143" s="311"/>
      <c r="AH143" s="311"/>
      <c r="AI143" s="311"/>
      <c r="AJ143" s="311"/>
      <c r="AK143" s="311"/>
      <c r="AL143" s="311"/>
      <c r="AM143" s="311"/>
      <c r="AN143" s="311"/>
      <c r="AO143" s="311"/>
    </row>
    <row r="144" spans="1:41">
      <c r="A144" s="453">
        <v>1.27</v>
      </c>
      <c r="B144" s="311" t="s">
        <v>297</v>
      </c>
      <c r="C144" s="314"/>
      <c r="D144" s="325"/>
      <c r="E144" s="312"/>
      <c r="F144" s="312"/>
      <c r="G144" s="315"/>
      <c r="H144" s="312"/>
      <c r="I144" s="312"/>
      <c r="J144" s="312"/>
      <c r="K144" s="312"/>
      <c r="L144" s="323"/>
      <c r="M144" s="324"/>
      <c r="N144" s="323"/>
      <c r="O144" s="324"/>
      <c r="P144" s="323"/>
      <c r="Q144" s="324"/>
      <c r="R144" s="311"/>
      <c r="S144" s="311"/>
      <c r="T144" s="311"/>
      <c r="U144" s="311"/>
      <c r="V144" s="311"/>
      <c r="W144" s="311"/>
      <c r="X144" s="311"/>
      <c r="Y144" s="311"/>
      <c r="Z144" s="311"/>
      <c r="AA144" s="311"/>
      <c r="AB144" s="311"/>
      <c r="AC144" s="311"/>
      <c r="AD144" s="311"/>
      <c r="AE144" s="311"/>
      <c r="AF144" s="311"/>
      <c r="AG144" s="311"/>
      <c r="AH144" s="311"/>
      <c r="AI144" s="311"/>
      <c r="AJ144" s="311"/>
      <c r="AK144" s="311"/>
      <c r="AL144" s="311"/>
      <c r="AM144" s="311"/>
      <c r="AN144" s="311"/>
      <c r="AO144" s="311"/>
    </row>
    <row r="145" spans="1:41">
      <c r="A145" s="453">
        <v>0.56000000000000005</v>
      </c>
      <c r="B145" s="311" t="s">
        <v>298</v>
      </c>
      <c r="C145" s="314"/>
      <c r="D145" s="325"/>
      <c r="E145" s="325"/>
      <c r="F145" s="325"/>
      <c r="G145" s="315"/>
      <c r="H145" s="321"/>
      <c r="I145" s="322"/>
      <c r="J145" s="325"/>
      <c r="K145" s="312"/>
      <c r="L145" s="323"/>
      <c r="M145" s="324"/>
      <c r="N145" s="323"/>
      <c r="O145" s="324"/>
      <c r="P145" s="323"/>
      <c r="Q145" s="324"/>
      <c r="R145" s="311"/>
      <c r="S145" s="311"/>
      <c r="T145" s="311"/>
      <c r="U145" s="311"/>
      <c r="V145" s="311"/>
      <c r="W145" s="311"/>
      <c r="X145" s="311"/>
      <c r="Y145" s="311"/>
      <c r="Z145" s="311"/>
      <c r="AA145" s="311"/>
      <c r="AB145" s="311"/>
      <c r="AC145" s="311"/>
      <c r="AD145" s="311"/>
      <c r="AE145" s="311"/>
      <c r="AF145" s="311"/>
      <c r="AG145" s="311"/>
      <c r="AH145" s="311"/>
      <c r="AI145" s="311"/>
      <c r="AJ145" s="311"/>
      <c r="AK145" s="311"/>
      <c r="AL145" s="311"/>
      <c r="AM145" s="311"/>
      <c r="AN145" s="311"/>
      <c r="AO145" s="311"/>
    </row>
    <row r="146" spans="1:41">
      <c r="A146" s="325"/>
      <c r="B146" s="325"/>
      <c r="C146" s="325"/>
      <c r="D146" s="325"/>
      <c r="E146" s="325"/>
      <c r="F146" s="325"/>
      <c r="G146" s="325"/>
      <c r="H146" s="312"/>
      <c r="I146" s="312" t="s">
        <v>299</v>
      </c>
      <c r="J146" s="312">
        <v>1263129.056142</v>
      </c>
      <c r="K146" s="312"/>
      <c r="L146" s="312" t="s">
        <v>299</v>
      </c>
      <c r="M146" s="312">
        <v>1255359.1272559999</v>
      </c>
      <c r="N146" s="323"/>
      <c r="O146" s="324"/>
      <c r="P146" s="323"/>
      <c r="Q146" s="324"/>
      <c r="R146" s="311"/>
      <c r="S146" s="311"/>
      <c r="T146" s="311"/>
      <c r="U146" s="311"/>
      <c r="V146" s="311"/>
      <c r="W146" s="311"/>
      <c r="X146" s="311"/>
      <c r="Y146" s="311"/>
      <c r="Z146" s="311"/>
      <c r="AA146" s="311"/>
      <c r="AB146" s="311"/>
      <c r="AC146" s="311"/>
      <c r="AD146" s="311"/>
      <c r="AE146" s="311"/>
      <c r="AF146" s="311"/>
      <c r="AG146" s="311"/>
      <c r="AH146" s="311"/>
      <c r="AI146" s="311"/>
      <c r="AJ146" s="311"/>
      <c r="AK146" s="311"/>
      <c r="AL146" s="311"/>
      <c r="AM146" s="311"/>
      <c r="AN146" s="311"/>
      <c r="AO146" s="311"/>
    </row>
    <row r="147" spans="1:41" ht="13.35" customHeight="1">
      <c r="A147" s="311"/>
      <c r="B147" s="311"/>
      <c r="C147" s="325"/>
      <c r="D147" s="325"/>
      <c r="E147" s="325"/>
      <c r="F147" s="325"/>
      <c r="G147" s="325"/>
      <c r="H147" s="325"/>
      <c r="I147" s="312" t="s">
        <v>296</v>
      </c>
      <c r="J147" s="311">
        <f>J146*K142</f>
        <v>1071693.1936452426</v>
      </c>
      <c r="K147" s="312"/>
      <c r="L147" s="312" t="s">
        <v>296</v>
      </c>
      <c r="M147" s="311">
        <f>M146*K142</f>
        <v>1065100.8507157979</v>
      </c>
      <c r="N147" s="311"/>
      <c r="O147" s="311"/>
      <c r="P147" s="311"/>
      <c r="Q147" s="311"/>
      <c r="R147" s="311"/>
      <c r="S147" s="311"/>
      <c r="T147" s="311"/>
      <c r="U147" s="311"/>
      <c r="V147" s="311"/>
      <c r="W147" s="311"/>
      <c r="X147" s="311"/>
      <c r="Y147" s="311"/>
      <c r="Z147" s="311"/>
      <c r="AA147" s="311"/>
      <c r="AB147" s="311"/>
      <c r="AC147" s="311"/>
      <c r="AD147" s="311"/>
      <c r="AE147" s="311"/>
      <c r="AF147" s="311"/>
      <c r="AG147" s="311"/>
      <c r="AH147" s="311"/>
      <c r="AI147" s="311"/>
      <c r="AJ147" s="311"/>
      <c r="AK147" s="311"/>
      <c r="AL147" s="311"/>
      <c r="AM147" s="311"/>
      <c r="AN147" s="311"/>
      <c r="AO147" s="311"/>
    </row>
    <row r="148" spans="1:41" ht="12.75" customHeight="1">
      <c r="A148" s="311"/>
      <c r="B148" s="311"/>
      <c r="C148" s="311"/>
      <c r="D148" s="311"/>
      <c r="E148" s="311"/>
      <c r="F148" s="311"/>
      <c r="G148" s="311"/>
      <c r="H148" s="311"/>
      <c r="I148" s="312" t="s">
        <v>171</v>
      </c>
      <c r="J148" s="311">
        <f>J146-J147</f>
        <v>191435.86249675741</v>
      </c>
      <c r="K148" s="325"/>
      <c r="L148" s="312" t="s">
        <v>171</v>
      </c>
      <c r="M148" s="311">
        <f>M146-M147</f>
        <v>190258.27654020209</v>
      </c>
      <c r="N148" s="311"/>
      <c r="O148" s="311"/>
      <c r="P148" s="311"/>
      <c r="Q148" s="311"/>
      <c r="R148" s="311"/>
      <c r="S148" s="311"/>
      <c r="T148" s="311"/>
      <c r="U148" s="311"/>
      <c r="V148" s="311"/>
      <c r="W148" s="311"/>
      <c r="X148" s="311"/>
      <c r="Y148" s="311"/>
      <c r="Z148" s="311"/>
      <c r="AA148" s="311"/>
      <c r="AB148" s="311"/>
      <c r="AC148" s="311"/>
      <c r="AD148" s="311"/>
      <c r="AE148" s="311"/>
      <c r="AF148" s="311"/>
      <c r="AG148" s="311"/>
      <c r="AH148" s="311"/>
      <c r="AI148" s="311"/>
      <c r="AJ148" s="311"/>
      <c r="AK148" s="311"/>
      <c r="AL148" s="311"/>
      <c r="AM148" s="311"/>
      <c r="AN148" s="311"/>
      <c r="AO148" s="311"/>
    </row>
    <row r="149" spans="1:41">
      <c r="A149" s="311"/>
      <c r="B149" s="311"/>
      <c r="C149" s="311"/>
      <c r="D149" s="311"/>
      <c r="E149" s="311"/>
      <c r="F149" s="311"/>
      <c r="G149" s="311"/>
      <c r="H149" s="311"/>
      <c r="I149" s="311"/>
      <c r="J149" s="311"/>
      <c r="K149" s="312"/>
      <c r="L149" s="311"/>
      <c r="M149" s="311"/>
      <c r="N149" s="311"/>
      <c r="O149" s="311"/>
      <c r="P149" s="311"/>
      <c r="Q149" s="311"/>
      <c r="R149" s="311"/>
      <c r="S149" s="311"/>
      <c r="T149" s="311"/>
      <c r="U149" s="311"/>
      <c r="V149" s="311"/>
      <c r="W149" s="311"/>
      <c r="X149" s="311"/>
      <c r="Y149" s="311"/>
      <c r="Z149" s="311"/>
      <c r="AA149" s="311"/>
      <c r="AB149" s="311"/>
      <c r="AC149" s="311"/>
      <c r="AD149" s="311"/>
      <c r="AE149" s="311"/>
      <c r="AF149" s="311"/>
      <c r="AG149" s="311"/>
      <c r="AH149" s="311"/>
      <c r="AI149" s="311"/>
      <c r="AJ149" s="311"/>
      <c r="AK149" s="311"/>
      <c r="AL149" s="311"/>
      <c r="AM149" s="311"/>
      <c r="AN149" s="311"/>
      <c r="AO149" s="311"/>
    </row>
    <row r="150" spans="1:41">
      <c r="A150" s="311"/>
      <c r="B150" s="311"/>
      <c r="C150" s="311"/>
      <c r="D150" s="311"/>
      <c r="E150" s="311"/>
      <c r="F150" s="311"/>
      <c r="G150" s="311"/>
      <c r="H150" s="311"/>
      <c r="I150" s="312" t="s">
        <v>300</v>
      </c>
      <c r="J150" s="312">
        <v>27695.430080999999</v>
      </c>
      <c r="K150" s="311"/>
      <c r="L150" s="312" t="s">
        <v>300</v>
      </c>
      <c r="M150" s="312">
        <v>27457.422992</v>
      </c>
      <c r="N150" s="311"/>
      <c r="O150" s="311"/>
      <c r="P150" s="311"/>
      <c r="Q150" s="311"/>
      <c r="R150" s="311"/>
      <c r="S150" s="311"/>
      <c r="T150" s="311"/>
      <c r="U150" s="311"/>
      <c r="V150" s="311"/>
      <c r="W150" s="311"/>
      <c r="X150" s="311"/>
      <c r="Y150" s="311"/>
      <c r="Z150" s="311"/>
      <c r="AA150" s="311"/>
      <c r="AB150" s="311"/>
      <c r="AC150" s="311"/>
      <c r="AD150" s="311"/>
      <c r="AE150" s="311"/>
      <c r="AF150" s="311"/>
      <c r="AG150" s="311"/>
      <c r="AH150" s="311"/>
      <c r="AI150" s="311"/>
      <c r="AJ150" s="311"/>
      <c r="AK150" s="311"/>
      <c r="AL150" s="311"/>
      <c r="AM150" s="311"/>
      <c r="AN150" s="311"/>
      <c r="AO150" s="311"/>
    </row>
    <row r="151" spans="1:41">
      <c r="A151" s="311"/>
      <c r="B151" s="311"/>
      <c r="C151" s="311"/>
      <c r="D151" s="311"/>
      <c r="E151" s="311"/>
      <c r="F151" s="311"/>
      <c r="G151" s="311"/>
      <c r="H151" s="311"/>
      <c r="I151" s="312" t="s">
        <v>296</v>
      </c>
      <c r="J151" s="311">
        <f>J150*K142</f>
        <v>23497.99790335018</v>
      </c>
      <c r="K151" s="311"/>
      <c r="L151" s="312" t="s">
        <v>296</v>
      </c>
      <c r="M151" s="311">
        <f>M150*K142</f>
        <v>23296.062419339003</v>
      </c>
      <c r="N151" s="311"/>
      <c r="O151" s="311"/>
      <c r="P151" s="311"/>
      <c r="Q151" s="311"/>
      <c r="R151" s="311"/>
      <c r="S151" s="311"/>
      <c r="T151" s="311"/>
      <c r="U151" s="311"/>
      <c r="V151" s="311"/>
      <c r="W151" s="311"/>
      <c r="X151" s="311"/>
      <c r="Y151" s="311"/>
      <c r="Z151" s="311"/>
      <c r="AA151" s="311"/>
      <c r="AB151" s="311"/>
      <c r="AC151" s="311"/>
      <c r="AD151" s="311"/>
      <c r="AE151" s="311"/>
      <c r="AF151" s="311"/>
      <c r="AG151" s="311"/>
      <c r="AH151" s="311"/>
      <c r="AI151" s="311"/>
      <c r="AJ151" s="311"/>
      <c r="AK151" s="311"/>
      <c r="AL151" s="311"/>
      <c r="AM151" s="311"/>
      <c r="AN151" s="311"/>
      <c r="AO151" s="311"/>
    </row>
    <row r="152" spans="1:41">
      <c r="A152" s="311"/>
      <c r="B152" s="311"/>
      <c r="C152" s="311"/>
      <c r="D152" s="311"/>
      <c r="E152" s="311"/>
      <c r="F152" s="311"/>
      <c r="G152" s="311"/>
      <c r="H152" s="311"/>
      <c r="I152" s="312" t="s">
        <v>171</v>
      </c>
      <c r="J152" s="311">
        <f>J150-J151</f>
        <v>4197.4321776498182</v>
      </c>
      <c r="K152" s="311"/>
      <c r="L152" s="312" t="s">
        <v>171</v>
      </c>
      <c r="M152" s="311">
        <f>M150-M151</f>
        <v>4161.3605726609967</v>
      </c>
      <c r="N152" s="311"/>
      <c r="O152" s="311"/>
      <c r="P152" s="311"/>
      <c r="Q152" s="311"/>
      <c r="R152" s="311"/>
      <c r="S152" s="311"/>
      <c r="T152" s="311"/>
      <c r="U152" s="311"/>
      <c r="V152" s="311"/>
      <c r="W152" s="311"/>
      <c r="X152" s="311"/>
      <c r="Y152" s="311"/>
      <c r="Z152" s="311"/>
      <c r="AA152" s="311"/>
      <c r="AB152" s="311"/>
      <c r="AC152" s="311"/>
      <c r="AD152" s="311"/>
      <c r="AE152" s="311"/>
      <c r="AF152" s="311"/>
      <c r="AG152" s="311"/>
      <c r="AH152" s="311"/>
      <c r="AI152" s="311"/>
      <c r="AJ152" s="311"/>
      <c r="AK152" s="311"/>
      <c r="AL152" s="311"/>
      <c r="AM152" s="311"/>
      <c r="AN152" s="311"/>
      <c r="AO152" s="311"/>
    </row>
    <row r="153" spans="1:41">
      <c r="A153" s="311"/>
      <c r="B153" s="311"/>
      <c r="C153" s="311"/>
      <c r="D153" s="311"/>
      <c r="E153" s="311"/>
      <c r="F153" s="311"/>
      <c r="G153" s="311"/>
      <c r="H153" s="311"/>
      <c r="I153" s="311"/>
      <c r="J153" s="311"/>
      <c r="K153" s="311"/>
      <c r="L153" s="311"/>
      <c r="M153" s="326"/>
      <c r="N153" s="311"/>
      <c r="O153" s="311"/>
      <c r="P153" s="311"/>
      <c r="Q153" s="311"/>
      <c r="R153" s="311"/>
      <c r="S153" s="311"/>
      <c r="T153" s="311"/>
      <c r="U153" s="311"/>
      <c r="V153" s="311"/>
      <c r="W153" s="311"/>
      <c r="X153" s="311"/>
      <c r="Y153" s="311"/>
      <c r="Z153" s="311"/>
      <c r="AA153" s="311"/>
      <c r="AB153" s="311"/>
      <c r="AC153" s="311"/>
      <c r="AD153" s="311"/>
      <c r="AE153" s="311"/>
      <c r="AF153" s="311"/>
      <c r="AG153" s="311"/>
      <c r="AH153" s="311"/>
      <c r="AI153" s="311"/>
      <c r="AJ153" s="311"/>
      <c r="AK153" s="311"/>
      <c r="AL153" s="311"/>
      <c r="AM153" s="311"/>
      <c r="AN153" s="311"/>
      <c r="AO153" s="311"/>
    </row>
    <row r="154" spans="1:41">
      <c r="A154" s="311"/>
      <c r="B154" s="311"/>
      <c r="C154" s="311"/>
      <c r="D154" s="311"/>
      <c r="E154" s="311"/>
      <c r="F154" s="311"/>
      <c r="G154" s="311"/>
      <c r="H154" s="311"/>
      <c r="I154" s="311"/>
      <c r="J154" s="311"/>
      <c r="K154" s="311"/>
      <c r="L154" s="311"/>
      <c r="M154" s="326"/>
      <c r="N154" s="311"/>
      <c r="O154" s="311"/>
      <c r="P154" s="311"/>
      <c r="Q154" s="311"/>
      <c r="R154" s="311"/>
      <c r="S154" s="311"/>
      <c r="T154" s="311"/>
      <c r="U154" s="311"/>
      <c r="V154" s="311"/>
      <c r="W154" s="311"/>
      <c r="X154" s="311"/>
      <c r="Y154" s="311"/>
      <c r="Z154" s="311"/>
      <c r="AA154" s="311"/>
      <c r="AB154" s="311"/>
      <c r="AC154" s="311"/>
      <c r="AD154" s="311"/>
      <c r="AE154" s="311"/>
      <c r="AF154" s="311"/>
      <c r="AG154" s="311"/>
      <c r="AH154" s="311"/>
      <c r="AI154" s="311"/>
      <c r="AJ154" s="311"/>
      <c r="AK154" s="311"/>
      <c r="AL154" s="311"/>
      <c r="AM154" s="311"/>
      <c r="AN154" s="311"/>
      <c r="AO154" s="311"/>
    </row>
    <row r="155" spans="1:41">
      <c r="A155" s="311"/>
      <c r="B155" s="311"/>
      <c r="C155" s="311"/>
      <c r="D155" s="311"/>
      <c r="E155" s="311"/>
      <c r="F155" s="311"/>
      <c r="G155" s="311"/>
      <c r="H155" s="311"/>
      <c r="I155" s="311"/>
      <c r="J155" s="311"/>
      <c r="K155" s="311"/>
      <c r="L155" s="311"/>
      <c r="M155" s="326"/>
      <c r="N155" s="311"/>
      <c r="O155" s="311"/>
      <c r="P155" s="311"/>
      <c r="Q155" s="311"/>
      <c r="R155" s="311"/>
      <c r="S155" s="311"/>
      <c r="T155" s="311"/>
      <c r="U155" s="311"/>
      <c r="V155" s="311"/>
      <c r="W155" s="311"/>
      <c r="X155" s="311"/>
      <c r="Y155" s="311"/>
      <c r="Z155" s="311"/>
      <c r="AA155" s="311"/>
      <c r="AB155" s="311"/>
      <c r="AC155" s="311"/>
      <c r="AD155" s="311"/>
      <c r="AE155" s="311"/>
      <c r="AF155" s="311"/>
      <c r="AG155" s="311"/>
      <c r="AH155" s="311"/>
      <c r="AI155" s="311"/>
      <c r="AJ155" s="311"/>
      <c r="AK155" s="311"/>
      <c r="AL155" s="311"/>
      <c r="AM155" s="311"/>
      <c r="AN155" s="311"/>
      <c r="AO155" s="311"/>
    </row>
    <row r="156" spans="1:41">
      <c r="A156" s="311"/>
      <c r="B156" s="311"/>
      <c r="C156" s="311"/>
      <c r="D156" s="311"/>
      <c r="E156" s="311"/>
      <c r="F156" s="311"/>
      <c r="G156" s="311"/>
      <c r="H156" s="311"/>
      <c r="I156" s="311"/>
      <c r="J156" s="311"/>
      <c r="K156" s="311"/>
      <c r="L156" s="311"/>
      <c r="M156" s="326"/>
      <c r="N156" s="311"/>
      <c r="O156" s="311"/>
      <c r="P156" s="311"/>
      <c r="Q156" s="311"/>
      <c r="R156" s="311"/>
      <c r="S156" s="311"/>
      <c r="T156" s="311"/>
      <c r="U156" s="311"/>
      <c r="V156" s="311"/>
      <c r="W156" s="311"/>
      <c r="X156" s="311"/>
      <c r="Y156" s="311"/>
      <c r="Z156" s="311"/>
      <c r="AA156" s="311"/>
      <c r="AB156" s="311"/>
      <c r="AC156" s="311"/>
      <c r="AD156" s="311"/>
      <c r="AE156" s="311"/>
      <c r="AF156" s="311"/>
      <c r="AG156" s="311"/>
      <c r="AH156" s="311"/>
      <c r="AI156" s="311"/>
      <c r="AJ156" s="311"/>
      <c r="AK156" s="311"/>
      <c r="AL156" s="311"/>
      <c r="AM156" s="311"/>
      <c r="AN156" s="311"/>
      <c r="AO156" s="311"/>
    </row>
    <row r="157" spans="1:41">
      <c r="A157" s="311"/>
      <c r="B157" s="311"/>
      <c r="C157" s="311"/>
      <c r="D157" s="311"/>
      <c r="E157" s="311"/>
      <c r="F157" s="311"/>
      <c r="G157" s="311"/>
      <c r="H157" s="311"/>
      <c r="I157" s="311"/>
      <c r="J157" s="311"/>
      <c r="K157" s="311"/>
      <c r="L157" s="311"/>
      <c r="M157" s="326"/>
      <c r="N157" s="311"/>
      <c r="O157" s="311"/>
      <c r="P157" s="311"/>
      <c r="Q157" s="311"/>
      <c r="R157" s="311"/>
      <c r="S157" s="311"/>
      <c r="T157" s="311"/>
      <c r="U157" s="311"/>
      <c r="V157" s="311"/>
      <c r="W157" s="311"/>
      <c r="X157" s="311"/>
      <c r="Y157" s="311"/>
      <c r="Z157" s="311"/>
      <c r="AA157" s="311"/>
      <c r="AB157" s="311"/>
      <c r="AC157" s="311"/>
      <c r="AD157" s="311"/>
      <c r="AE157" s="311"/>
      <c r="AF157" s="311"/>
      <c r="AG157" s="311"/>
      <c r="AH157" s="311"/>
      <c r="AI157" s="311"/>
      <c r="AJ157" s="311"/>
      <c r="AK157" s="311"/>
      <c r="AL157" s="311"/>
      <c r="AM157" s="311"/>
      <c r="AN157" s="311"/>
      <c r="AO157" s="311"/>
    </row>
    <row r="158" spans="1:41">
      <c r="A158" s="311"/>
      <c r="B158" s="311"/>
      <c r="C158" s="311"/>
      <c r="D158" s="311"/>
      <c r="E158" s="311"/>
      <c r="F158" s="311"/>
      <c r="G158" s="311"/>
      <c r="H158" s="311"/>
      <c r="I158" s="311"/>
      <c r="J158" s="311"/>
      <c r="K158" s="311"/>
      <c r="L158" s="311"/>
      <c r="M158" s="326"/>
      <c r="N158" s="311"/>
      <c r="O158" s="311"/>
      <c r="P158" s="311"/>
      <c r="Q158" s="311"/>
      <c r="R158" s="311"/>
      <c r="S158" s="311"/>
      <c r="T158" s="311"/>
      <c r="U158" s="311"/>
      <c r="V158" s="311"/>
      <c r="W158" s="311"/>
      <c r="X158" s="311"/>
      <c r="Y158" s="311"/>
      <c r="Z158" s="311"/>
      <c r="AA158" s="311"/>
      <c r="AB158" s="311"/>
      <c r="AC158" s="311"/>
      <c r="AD158" s="311"/>
      <c r="AE158" s="311"/>
      <c r="AF158" s="311"/>
      <c r="AG158" s="311"/>
      <c r="AH158" s="311"/>
      <c r="AI158" s="311"/>
      <c r="AJ158" s="311"/>
      <c r="AK158" s="311"/>
      <c r="AL158" s="311"/>
      <c r="AM158" s="311"/>
      <c r="AN158" s="311"/>
      <c r="AO158" s="311"/>
    </row>
    <row r="159" spans="1:41">
      <c r="A159" s="311"/>
      <c r="B159" s="311"/>
      <c r="C159" s="311"/>
      <c r="D159" s="311"/>
      <c r="E159" s="311"/>
      <c r="F159" s="311"/>
      <c r="G159" s="311"/>
      <c r="H159" s="311"/>
      <c r="I159" s="311"/>
      <c r="J159" s="311"/>
      <c r="K159" s="311"/>
      <c r="L159" s="311"/>
      <c r="M159" s="326"/>
      <c r="N159" s="311"/>
      <c r="O159" s="311"/>
      <c r="P159" s="311"/>
      <c r="Q159" s="311"/>
      <c r="R159" s="311"/>
      <c r="S159" s="311"/>
      <c r="T159" s="311"/>
      <c r="U159" s="311"/>
      <c r="V159" s="311"/>
      <c r="W159" s="311"/>
      <c r="X159" s="311"/>
      <c r="Y159" s="311"/>
      <c r="Z159" s="311"/>
      <c r="AA159" s="311"/>
      <c r="AB159" s="311"/>
      <c r="AC159" s="311"/>
      <c r="AD159" s="311"/>
      <c r="AE159" s="311"/>
      <c r="AF159" s="311"/>
      <c r="AG159" s="311"/>
      <c r="AH159" s="311"/>
      <c r="AI159" s="311"/>
      <c r="AJ159" s="311"/>
      <c r="AK159" s="311"/>
      <c r="AL159" s="311"/>
      <c r="AM159" s="311"/>
      <c r="AN159" s="311"/>
      <c r="AO159" s="311"/>
    </row>
    <row r="160" spans="1:41">
      <c r="A160" s="311"/>
      <c r="B160" s="311"/>
      <c r="C160" s="311"/>
      <c r="D160" s="311"/>
      <c r="E160" s="311"/>
      <c r="F160" s="311"/>
      <c r="G160" s="311"/>
      <c r="H160" s="311"/>
      <c r="I160" s="311"/>
      <c r="J160" s="311"/>
      <c r="K160" s="311"/>
      <c r="L160" s="311"/>
      <c r="M160" s="326"/>
      <c r="N160" s="311"/>
      <c r="O160" s="311"/>
      <c r="P160" s="311"/>
      <c r="Q160" s="311"/>
      <c r="R160" s="311"/>
      <c r="S160" s="311"/>
      <c r="T160" s="311"/>
      <c r="U160" s="311"/>
      <c r="V160" s="311"/>
      <c r="W160" s="311"/>
      <c r="X160" s="311"/>
      <c r="Y160" s="311"/>
      <c r="Z160" s="311"/>
      <c r="AA160" s="311"/>
      <c r="AB160" s="311"/>
      <c r="AC160" s="311"/>
      <c r="AD160" s="311"/>
      <c r="AE160" s="311"/>
      <c r="AF160" s="311"/>
      <c r="AG160" s="311"/>
      <c r="AH160" s="311"/>
      <c r="AI160" s="311"/>
      <c r="AJ160" s="311"/>
      <c r="AK160" s="311"/>
      <c r="AL160" s="311"/>
      <c r="AM160" s="311"/>
      <c r="AN160" s="311"/>
      <c r="AO160" s="311"/>
    </row>
    <row r="161" spans="1:41">
      <c r="A161" s="311"/>
      <c r="B161" s="311"/>
      <c r="C161" s="311"/>
      <c r="D161" s="311"/>
      <c r="E161" s="311"/>
      <c r="F161" s="311"/>
      <c r="G161" s="311"/>
      <c r="H161" s="311"/>
      <c r="I161" s="311"/>
      <c r="J161" s="311"/>
      <c r="K161" s="311"/>
      <c r="L161" s="311"/>
      <c r="M161" s="326"/>
      <c r="N161" s="311"/>
      <c r="O161" s="311"/>
      <c r="P161" s="311"/>
      <c r="Q161" s="311"/>
      <c r="R161" s="311"/>
      <c r="S161" s="311"/>
      <c r="T161" s="311"/>
      <c r="U161" s="311"/>
      <c r="V161" s="311"/>
      <c r="W161" s="311"/>
      <c r="X161" s="311"/>
      <c r="Y161" s="311"/>
      <c r="Z161" s="311"/>
      <c r="AA161" s="311"/>
      <c r="AB161" s="311"/>
      <c r="AC161" s="311"/>
      <c r="AD161" s="311"/>
      <c r="AE161" s="311"/>
      <c r="AF161" s="311"/>
      <c r="AG161" s="311"/>
      <c r="AH161" s="311"/>
      <c r="AI161" s="311"/>
      <c r="AJ161" s="311"/>
      <c r="AK161" s="311"/>
      <c r="AL161" s="311"/>
      <c r="AM161" s="311"/>
      <c r="AN161" s="311"/>
      <c r="AO161" s="311"/>
    </row>
    <row r="162" spans="1:41">
      <c r="A162" s="311"/>
      <c r="B162" s="311"/>
      <c r="C162" s="311"/>
      <c r="D162" s="311"/>
      <c r="E162" s="311"/>
      <c r="F162" s="311"/>
      <c r="G162" s="311"/>
      <c r="H162" s="311"/>
      <c r="I162" s="311"/>
      <c r="J162" s="311"/>
      <c r="K162" s="311"/>
      <c r="L162" s="311"/>
      <c r="M162" s="326"/>
      <c r="N162" s="311"/>
      <c r="O162" s="311"/>
      <c r="P162" s="311"/>
      <c r="Q162" s="311"/>
      <c r="R162" s="311"/>
      <c r="S162" s="311"/>
      <c r="T162" s="311"/>
      <c r="U162" s="311"/>
      <c r="V162" s="311"/>
      <c r="W162" s="311"/>
      <c r="X162" s="311"/>
      <c r="Y162" s="311"/>
      <c r="Z162" s="311"/>
      <c r="AA162" s="311"/>
      <c r="AB162" s="311"/>
      <c r="AC162" s="311"/>
      <c r="AD162" s="311"/>
      <c r="AE162" s="311"/>
      <c r="AF162" s="311"/>
      <c r="AG162" s="311"/>
      <c r="AH162" s="311"/>
      <c r="AI162" s="311"/>
      <c r="AJ162" s="311"/>
      <c r="AK162" s="311"/>
      <c r="AL162" s="311"/>
      <c r="AM162" s="311"/>
      <c r="AN162" s="311"/>
      <c r="AO162" s="311"/>
    </row>
    <row r="163" spans="1:41">
      <c r="A163" s="311"/>
      <c r="B163" s="311"/>
      <c r="C163" s="311"/>
      <c r="D163" s="311"/>
      <c r="E163" s="311"/>
      <c r="F163" s="311"/>
      <c r="G163" s="311"/>
      <c r="H163" s="311"/>
      <c r="I163" s="311"/>
      <c r="J163" s="311"/>
      <c r="K163" s="311"/>
      <c r="L163" s="311"/>
      <c r="M163" s="326"/>
      <c r="N163" s="311"/>
      <c r="O163" s="311"/>
      <c r="P163" s="311"/>
      <c r="Q163" s="311"/>
      <c r="R163" s="311"/>
      <c r="S163" s="311"/>
      <c r="T163" s="311"/>
      <c r="U163" s="311"/>
      <c r="V163" s="311"/>
      <c r="W163" s="311"/>
      <c r="X163" s="311"/>
      <c r="Y163" s="311"/>
      <c r="Z163" s="311"/>
      <c r="AA163" s="311"/>
      <c r="AB163" s="311"/>
      <c r="AC163" s="311"/>
      <c r="AD163" s="311"/>
      <c r="AE163" s="311"/>
      <c r="AF163" s="311"/>
      <c r="AG163" s="311"/>
      <c r="AH163" s="311"/>
      <c r="AI163" s="311"/>
      <c r="AJ163" s="311"/>
      <c r="AK163" s="311"/>
      <c r="AL163" s="311"/>
      <c r="AM163" s="311"/>
      <c r="AN163" s="311"/>
      <c r="AO163" s="311"/>
    </row>
    <row r="164" spans="1:41">
      <c r="A164" s="311"/>
      <c r="B164" s="311"/>
      <c r="C164" s="311"/>
      <c r="D164" s="311"/>
      <c r="E164" s="311"/>
      <c r="F164" s="311"/>
      <c r="G164" s="311"/>
      <c r="H164" s="311"/>
      <c r="I164" s="311"/>
      <c r="J164" s="311"/>
      <c r="K164" s="311"/>
      <c r="L164" s="311"/>
      <c r="M164" s="326"/>
      <c r="N164" s="311"/>
      <c r="O164" s="311"/>
      <c r="P164" s="311"/>
      <c r="Q164" s="311"/>
      <c r="R164" s="311"/>
      <c r="S164" s="311"/>
      <c r="T164" s="311"/>
      <c r="U164" s="311"/>
      <c r="V164" s="311"/>
      <c r="W164" s="311"/>
      <c r="X164" s="311"/>
      <c r="Y164" s="311"/>
      <c r="Z164" s="311"/>
      <c r="AA164" s="311"/>
      <c r="AB164" s="311"/>
      <c r="AC164" s="311"/>
      <c r="AD164" s="311"/>
      <c r="AE164" s="311"/>
      <c r="AF164" s="311"/>
      <c r="AG164" s="311"/>
      <c r="AH164" s="311"/>
      <c r="AI164" s="311"/>
      <c r="AJ164" s="311"/>
      <c r="AK164" s="311"/>
      <c r="AL164" s="311"/>
      <c r="AM164" s="311"/>
      <c r="AN164" s="311"/>
      <c r="AO164" s="311"/>
    </row>
    <row r="165" spans="1:41">
      <c r="A165" s="311"/>
      <c r="B165" s="311"/>
      <c r="C165" s="311"/>
      <c r="D165" s="311"/>
      <c r="E165" s="311"/>
      <c r="F165" s="311"/>
      <c r="G165" s="311"/>
      <c r="H165" s="311"/>
      <c r="I165" s="311"/>
      <c r="J165" s="311"/>
      <c r="K165" s="311"/>
      <c r="L165" s="311"/>
      <c r="M165" s="326"/>
      <c r="N165" s="311"/>
      <c r="O165" s="311"/>
      <c r="P165" s="311"/>
      <c r="Q165" s="311"/>
      <c r="R165" s="311"/>
      <c r="S165" s="311"/>
      <c r="T165" s="311"/>
      <c r="U165" s="311"/>
      <c r="V165" s="311"/>
      <c r="W165" s="311"/>
      <c r="X165" s="311"/>
      <c r="Y165" s="311"/>
      <c r="Z165" s="311"/>
      <c r="AA165" s="311"/>
      <c r="AB165" s="311"/>
      <c r="AC165" s="311"/>
      <c r="AD165" s="311"/>
      <c r="AE165" s="311"/>
      <c r="AF165" s="311"/>
      <c r="AG165" s="311"/>
      <c r="AH165" s="311"/>
      <c r="AI165" s="311"/>
      <c r="AJ165" s="311"/>
      <c r="AK165" s="311"/>
      <c r="AL165" s="311"/>
      <c r="AM165" s="311"/>
      <c r="AN165" s="311"/>
      <c r="AO165" s="311"/>
    </row>
    <row r="166" spans="1:41">
      <c r="A166" s="311"/>
      <c r="B166" s="311"/>
      <c r="C166" s="311"/>
      <c r="D166" s="311"/>
      <c r="E166" s="311"/>
      <c r="F166" s="311"/>
      <c r="G166" s="311"/>
      <c r="H166" s="311"/>
      <c r="I166" s="311"/>
      <c r="J166" s="311"/>
      <c r="K166" s="311"/>
      <c r="L166" s="311"/>
      <c r="M166" s="326"/>
      <c r="N166" s="311"/>
      <c r="O166" s="311"/>
      <c r="P166" s="311"/>
      <c r="Q166" s="311"/>
      <c r="R166" s="311"/>
      <c r="S166" s="311"/>
      <c r="T166" s="311"/>
      <c r="U166" s="311"/>
      <c r="V166" s="311"/>
      <c r="W166" s="311"/>
      <c r="X166" s="311"/>
      <c r="Y166" s="311"/>
      <c r="Z166" s="311"/>
      <c r="AA166" s="311"/>
      <c r="AB166" s="311"/>
      <c r="AC166" s="311"/>
      <c r="AD166" s="311"/>
      <c r="AE166" s="311"/>
      <c r="AF166" s="311"/>
      <c r="AG166" s="311"/>
      <c r="AH166" s="311"/>
      <c r="AI166" s="311"/>
      <c r="AJ166" s="311"/>
      <c r="AK166" s="311"/>
      <c r="AL166" s="311"/>
      <c r="AM166" s="311"/>
      <c r="AN166" s="311"/>
      <c r="AO166" s="311"/>
    </row>
    <row r="167" spans="1:41">
      <c r="A167" s="311"/>
      <c r="B167" s="311"/>
      <c r="C167" s="311"/>
      <c r="D167" s="311"/>
      <c r="E167" s="311"/>
      <c r="F167" s="311"/>
      <c r="G167" s="311"/>
      <c r="H167" s="311"/>
      <c r="I167" s="311"/>
      <c r="J167" s="311"/>
      <c r="K167" s="311"/>
      <c r="L167" s="311"/>
      <c r="M167" s="326"/>
      <c r="N167" s="311"/>
      <c r="O167" s="311"/>
      <c r="P167" s="311"/>
      <c r="Q167" s="311"/>
      <c r="R167" s="311"/>
      <c r="S167" s="311"/>
      <c r="T167" s="311"/>
      <c r="U167" s="311"/>
      <c r="V167" s="311"/>
      <c r="W167" s="311"/>
      <c r="X167" s="311"/>
      <c r="Y167" s="311"/>
      <c r="Z167" s="311"/>
      <c r="AA167" s="311"/>
      <c r="AB167" s="311"/>
      <c r="AC167" s="311"/>
      <c r="AD167" s="311"/>
      <c r="AE167" s="311"/>
      <c r="AF167" s="311"/>
      <c r="AG167" s="311"/>
      <c r="AH167" s="311"/>
      <c r="AI167" s="311"/>
      <c r="AJ167" s="311"/>
      <c r="AK167" s="311"/>
      <c r="AL167" s="311"/>
      <c r="AM167" s="311"/>
      <c r="AN167" s="311"/>
      <c r="AO167" s="311"/>
    </row>
    <row r="168" spans="1:41">
      <c r="A168" s="311"/>
      <c r="B168" s="311"/>
      <c r="C168" s="311"/>
      <c r="D168" s="311"/>
      <c r="E168" s="311"/>
      <c r="F168" s="311"/>
      <c r="G168" s="311"/>
      <c r="H168" s="311"/>
      <c r="I168" s="311"/>
      <c r="J168" s="311"/>
      <c r="K168" s="311"/>
      <c r="L168" s="311"/>
      <c r="M168" s="326"/>
      <c r="N168" s="311"/>
      <c r="O168" s="311"/>
      <c r="P168" s="311"/>
      <c r="Q168" s="311"/>
      <c r="R168" s="311"/>
      <c r="S168" s="311"/>
      <c r="T168" s="311"/>
      <c r="U168" s="311"/>
      <c r="V168" s="311"/>
      <c r="W168" s="311"/>
      <c r="X168" s="311"/>
      <c r="Y168" s="311"/>
      <c r="Z168" s="311"/>
      <c r="AA168" s="311"/>
      <c r="AB168" s="311"/>
      <c r="AC168" s="311"/>
      <c r="AD168" s="311"/>
      <c r="AE168" s="311"/>
      <c r="AF168" s="311"/>
      <c r="AG168" s="311"/>
      <c r="AH168" s="311"/>
      <c r="AI168" s="311"/>
      <c r="AJ168" s="311"/>
      <c r="AK168" s="311"/>
      <c r="AL168" s="311"/>
      <c r="AM168" s="311"/>
      <c r="AN168" s="311"/>
      <c r="AO168" s="311"/>
    </row>
    <row r="169" spans="1:41">
      <c r="A169" s="311"/>
      <c r="B169" s="311"/>
      <c r="C169" s="311"/>
      <c r="D169" s="311"/>
      <c r="E169" s="311"/>
      <c r="F169" s="311"/>
      <c r="G169" s="311"/>
      <c r="H169" s="311"/>
      <c r="I169" s="311"/>
      <c r="J169" s="311"/>
      <c r="K169" s="311"/>
      <c r="L169" s="311"/>
      <c r="M169" s="326"/>
      <c r="N169" s="311"/>
      <c r="O169" s="311"/>
      <c r="P169" s="311"/>
      <c r="Q169" s="311"/>
      <c r="R169" s="311"/>
      <c r="S169" s="311"/>
      <c r="T169" s="311"/>
      <c r="U169" s="311"/>
      <c r="V169" s="311"/>
      <c r="W169" s="311"/>
      <c r="X169" s="311"/>
      <c r="Y169" s="311"/>
      <c r="Z169" s="311"/>
      <c r="AA169" s="311"/>
      <c r="AB169" s="311"/>
      <c r="AC169" s="311"/>
      <c r="AD169" s="311"/>
      <c r="AE169" s="311"/>
      <c r="AF169" s="311"/>
      <c r="AG169" s="311"/>
      <c r="AH169" s="311"/>
      <c r="AI169" s="311"/>
      <c r="AJ169" s="311"/>
      <c r="AK169" s="311"/>
      <c r="AL169" s="311"/>
      <c r="AM169" s="311"/>
      <c r="AN169" s="311"/>
      <c r="AO169" s="311"/>
    </row>
    <row r="170" spans="1:41">
      <c r="A170" s="311"/>
      <c r="B170" s="311"/>
      <c r="C170" s="311"/>
      <c r="D170" s="311"/>
      <c r="E170" s="311"/>
      <c r="F170" s="311"/>
      <c r="G170" s="311"/>
      <c r="H170" s="311"/>
      <c r="I170" s="311"/>
      <c r="J170" s="311"/>
      <c r="K170" s="311"/>
      <c r="L170" s="311"/>
      <c r="M170" s="326"/>
      <c r="N170" s="311"/>
      <c r="O170" s="311"/>
      <c r="P170" s="311"/>
      <c r="Q170" s="311"/>
      <c r="R170" s="311"/>
      <c r="S170" s="311"/>
      <c r="T170" s="311"/>
      <c r="U170" s="311"/>
      <c r="V170" s="311"/>
      <c r="W170" s="311"/>
      <c r="X170" s="311"/>
      <c r="Y170" s="311"/>
      <c r="Z170" s="311"/>
      <c r="AA170" s="311"/>
      <c r="AB170" s="311"/>
      <c r="AC170" s="311"/>
      <c r="AD170" s="311"/>
      <c r="AE170" s="311"/>
      <c r="AF170" s="311"/>
      <c r="AG170" s="311"/>
      <c r="AH170" s="311"/>
      <c r="AI170" s="311"/>
      <c r="AJ170" s="311"/>
      <c r="AK170" s="311"/>
      <c r="AL170" s="311"/>
      <c r="AM170" s="311"/>
      <c r="AN170" s="311"/>
      <c r="AO170" s="311"/>
    </row>
    <row r="171" spans="1:41">
      <c r="A171" s="311"/>
      <c r="B171" s="311"/>
      <c r="C171" s="311"/>
      <c r="D171" s="311"/>
      <c r="E171" s="311"/>
      <c r="F171" s="311"/>
      <c r="G171" s="311"/>
      <c r="H171" s="311"/>
      <c r="I171" s="311"/>
      <c r="J171" s="311"/>
      <c r="K171" s="311"/>
      <c r="L171" s="311"/>
      <c r="M171" s="326"/>
      <c r="N171" s="311"/>
      <c r="O171" s="311"/>
      <c r="P171" s="311"/>
      <c r="Q171" s="311"/>
      <c r="R171" s="311"/>
      <c r="S171" s="311"/>
      <c r="T171" s="311"/>
      <c r="U171" s="311"/>
      <c r="V171" s="311"/>
      <c r="W171" s="311"/>
      <c r="X171" s="311"/>
      <c r="Y171" s="311"/>
      <c r="Z171" s="311"/>
      <c r="AA171" s="311"/>
      <c r="AB171" s="311"/>
      <c r="AC171" s="311"/>
      <c r="AD171" s="311"/>
      <c r="AE171" s="311"/>
      <c r="AF171" s="311"/>
      <c r="AG171" s="311"/>
      <c r="AH171" s="311"/>
      <c r="AI171" s="311"/>
      <c r="AJ171" s="311"/>
      <c r="AK171" s="311"/>
      <c r="AL171" s="311"/>
      <c r="AM171" s="311"/>
      <c r="AN171" s="311"/>
      <c r="AO171" s="311"/>
    </row>
    <row r="172" spans="1:41">
      <c r="A172" s="311"/>
      <c r="B172" s="311"/>
      <c r="C172" s="311"/>
      <c r="D172" s="311"/>
      <c r="E172" s="311"/>
      <c r="F172" s="311"/>
      <c r="G172" s="311"/>
      <c r="H172" s="311"/>
      <c r="I172" s="311"/>
      <c r="J172" s="311"/>
      <c r="K172" s="311"/>
      <c r="L172" s="311"/>
      <c r="M172" s="326"/>
      <c r="N172" s="311"/>
      <c r="O172" s="311"/>
      <c r="P172" s="311"/>
      <c r="Q172" s="311"/>
      <c r="R172" s="311"/>
      <c r="S172" s="311"/>
      <c r="T172" s="311"/>
      <c r="U172" s="311"/>
      <c r="V172" s="311"/>
      <c r="W172" s="311"/>
      <c r="X172" s="311"/>
      <c r="Y172" s="311"/>
      <c r="Z172" s="311"/>
      <c r="AA172" s="311"/>
      <c r="AB172" s="311"/>
      <c r="AC172" s="311"/>
      <c r="AD172" s="311"/>
      <c r="AE172" s="311"/>
      <c r="AF172" s="311"/>
      <c r="AG172" s="311"/>
      <c r="AH172" s="311"/>
      <c r="AI172" s="311"/>
      <c r="AJ172" s="311"/>
      <c r="AK172" s="311"/>
      <c r="AL172" s="311"/>
      <c r="AM172" s="311"/>
      <c r="AN172" s="311"/>
      <c r="AO172" s="311"/>
    </row>
    <row r="173" spans="1:41">
      <c r="A173" s="311"/>
      <c r="B173" s="311"/>
      <c r="C173" s="311"/>
      <c r="D173" s="311"/>
      <c r="E173" s="311"/>
      <c r="F173" s="311"/>
      <c r="G173" s="311"/>
      <c r="H173" s="311"/>
      <c r="I173" s="311"/>
      <c r="J173" s="311"/>
      <c r="K173" s="311"/>
      <c r="L173" s="311"/>
      <c r="M173" s="326"/>
      <c r="N173" s="311"/>
      <c r="O173" s="311"/>
      <c r="P173" s="311"/>
      <c r="Q173" s="311"/>
      <c r="R173" s="311"/>
      <c r="S173" s="311"/>
      <c r="T173" s="311"/>
      <c r="U173" s="311"/>
      <c r="V173" s="311"/>
      <c r="W173" s="311"/>
      <c r="X173" s="311"/>
      <c r="Y173" s="311"/>
      <c r="Z173" s="311"/>
      <c r="AA173" s="311"/>
      <c r="AB173" s="311"/>
      <c r="AC173" s="311"/>
      <c r="AD173" s="311"/>
      <c r="AE173" s="311"/>
      <c r="AF173" s="311"/>
      <c r="AG173" s="311"/>
      <c r="AH173" s="311"/>
      <c r="AI173" s="311"/>
      <c r="AJ173" s="311"/>
      <c r="AK173" s="311"/>
      <c r="AL173" s="311"/>
      <c r="AM173" s="311"/>
      <c r="AN173" s="311"/>
      <c r="AO173" s="311"/>
    </row>
    <row r="174" spans="1:41">
      <c r="A174" s="311"/>
      <c r="B174" s="311"/>
      <c r="C174" s="311"/>
      <c r="D174" s="311"/>
      <c r="E174" s="311"/>
      <c r="F174" s="311"/>
      <c r="G174" s="311"/>
      <c r="H174" s="311"/>
      <c r="I174" s="311"/>
      <c r="J174" s="311"/>
      <c r="K174" s="311"/>
      <c r="L174" s="311"/>
      <c r="M174" s="326"/>
      <c r="N174" s="311"/>
      <c r="O174" s="311"/>
      <c r="P174" s="311"/>
      <c r="Q174" s="311"/>
      <c r="R174" s="311"/>
      <c r="S174" s="311"/>
      <c r="T174" s="311"/>
      <c r="U174" s="311"/>
      <c r="V174" s="311"/>
      <c r="W174" s="311"/>
      <c r="X174" s="311"/>
      <c r="Y174" s="311"/>
      <c r="Z174" s="311"/>
      <c r="AA174" s="311"/>
      <c r="AB174" s="311"/>
      <c r="AC174" s="311"/>
      <c r="AD174" s="311"/>
      <c r="AE174" s="311"/>
      <c r="AF174" s="311"/>
      <c r="AG174" s="311"/>
      <c r="AH174" s="311"/>
      <c r="AI174" s="311"/>
      <c r="AJ174" s="311"/>
      <c r="AK174" s="311"/>
      <c r="AL174" s="311"/>
      <c r="AM174" s="311"/>
      <c r="AN174" s="311"/>
      <c r="AO174" s="311"/>
    </row>
    <row r="175" spans="1:41">
      <c r="A175" s="311"/>
      <c r="B175" s="311"/>
      <c r="C175" s="311"/>
      <c r="D175" s="311"/>
      <c r="E175" s="311"/>
      <c r="F175" s="311"/>
      <c r="G175" s="311"/>
      <c r="H175" s="311"/>
      <c r="I175" s="311"/>
      <c r="J175" s="311"/>
      <c r="K175" s="311"/>
      <c r="L175" s="311"/>
      <c r="M175" s="326"/>
      <c r="N175" s="311"/>
      <c r="O175" s="311"/>
      <c r="P175" s="311"/>
      <c r="Q175" s="311"/>
      <c r="R175" s="311"/>
      <c r="S175" s="311"/>
      <c r="T175" s="311"/>
      <c r="U175" s="311"/>
      <c r="V175" s="311"/>
      <c r="W175" s="311"/>
      <c r="X175" s="311"/>
      <c r="Y175" s="311"/>
      <c r="Z175" s="311"/>
      <c r="AA175" s="311"/>
      <c r="AB175" s="311"/>
      <c r="AC175" s="311"/>
      <c r="AD175" s="311"/>
      <c r="AE175" s="311"/>
      <c r="AF175" s="311"/>
      <c r="AG175" s="311"/>
      <c r="AH175" s="311"/>
      <c r="AI175" s="311"/>
      <c r="AJ175" s="311"/>
      <c r="AK175" s="311"/>
      <c r="AL175" s="311"/>
      <c r="AM175" s="311"/>
      <c r="AN175" s="311"/>
      <c r="AO175" s="311"/>
    </row>
    <row r="176" spans="1:41">
      <c r="A176" s="311"/>
      <c r="B176" s="311"/>
      <c r="C176" s="311"/>
      <c r="D176" s="311"/>
      <c r="E176" s="311"/>
      <c r="F176" s="311"/>
      <c r="G176" s="311"/>
      <c r="H176" s="311"/>
      <c r="I176" s="311"/>
      <c r="J176" s="311"/>
      <c r="K176" s="311"/>
      <c r="L176" s="311"/>
      <c r="M176" s="326"/>
      <c r="N176" s="311"/>
      <c r="O176" s="311"/>
      <c r="P176" s="311"/>
      <c r="Q176" s="311"/>
      <c r="R176" s="311"/>
      <c r="S176" s="311"/>
      <c r="T176" s="311"/>
      <c r="U176" s="311"/>
      <c r="V176" s="311"/>
      <c r="W176" s="311"/>
      <c r="X176" s="311"/>
      <c r="Y176" s="311"/>
      <c r="Z176" s="311"/>
      <c r="AA176" s="311"/>
      <c r="AB176" s="311"/>
      <c r="AC176" s="311"/>
      <c r="AD176" s="311"/>
      <c r="AE176" s="311"/>
      <c r="AF176" s="311"/>
      <c r="AG176" s="311"/>
      <c r="AH176" s="311"/>
      <c r="AI176" s="311"/>
      <c r="AJ176" s="311"/>
      <c r="AK176" s="311"/>
      <c r="AL176" s="311"/>
      <c r="AM176" s="311"/>
      <c r="AN176" s="311"/>
      <c r="AO176" s="311"/>
    </row>
    <row r="177" spans="1:41">
      <c r="A177" s="311"/>
      <c r="B177" s="311"/>
      <c r="C177" s="311"/>
      <c r="D177" s="311"/>
      <c r="E177" s="311"/>
      <c r="F177" s="311"/>
      <c r="G177" s="311"/>
      <c r="H177" s="311"/>
      <c r="I177" s="311"/>
      <c r="J177" s="311"/>
      <c r="K177" s="311"/>
      <c r="L177" s="311"/>
      <c r="M177" s="326"/>
      <c r="N177" s="311"/>
      <c r="O177" s="311"/>
      <c r="P177" s="311"/>
      <c r="Q177" s="311"/>
      <c r="R177" s="311"/>
      <c r="S177" s="311"/>
      <c r="T177" s="311"/>
      <c r="U177" s="311"/>
      <c r="V177" s="311"/>
      <c r="W177" s="311"/>
      <c r="X177" s="311"/>
      <c r="Y177" s="311"/>
      <c r="Z177" s="311"/>
      <c r="AA177" s="311"/>
      <c r="AB177" s="311"/>
      <c r="AC177" s="311"/>
      <c r="AD177" s="311"/>
      <c r="AE177" s="311"/>
      <c r="AF177" s="311"/>
      <c r="AG177" s="311"/>
      <c r="AH177" s="311"/>
      <c r="AI177" s="311"/>
      <c r="AJ177" s="311"/>
      <c r="AK177" s="311"/>
      <c r="AL177" s="311"/>
      <c r="AM177" s="311"/>
      <c r="AN177" s="311"/>
      <c r="AO177" s="311"/>
    </row>
    <row r="178" spans="1:41">
      <c r="A178" s="311"/>
      <c r="B178" s="311"/>
      <c r="C178" s="311"/>
      <c r="D178" s="311"/>
      <c r="E178" s="311"/>
      <c r="F178" s="311"/>
      <c r="G178" s="311"/>
      <c r="H178" s="311"/>
      <c r="I178" s="311"/>
      <c r="J178" s="311"/>
      <c r="K178" s="311"/>
      <c r="L178" s="311"/>
      <c r="M178" s="326"/>
      <c r="N178" s="311"/>
      <c r="O178" s="311"/>
      <c r="P178" s="311"/>
      <c r="Q178" s="311"/>
      <c r="R178" s="311"/>
      <c r="S178" s="311"/>
      <c r="T178" s="311"/>
      <c r="U178" s="311"/>
      <c r="V178" s="311"/>
      <c r="W178" s="311"/>
      <c r="X178" s="311"/>
      <c r="Y178" s="311"/>
      <c r="Z178" s="311"/>
      <c r="AA178" s="311"/>
      <c r="AB178" s="311"/>
      <c r="AC178" s="311"/>
      <c r="AD178" s="311"/>
      <c r="AE178" s="311"/>
      <c r="AF178" s="311"/>
      <c r="AG178" s="311"/>
      <c r="AH178" s="311"/>
      <c r="AI178" s="311"/>
      <c r="AJ178" s="311"/>
      <c r="AK178" s="311"/>
      <c r="AL178" s="311"/>
      <c r="AM178" s="311"/>
      <c r="AN178" s="311"/>
      <c r="AO178" s="311"/>
    </row>
    <row r="179" spans="1:41">
      <c r="A179" s="311"/>
      <c r="B179" s="311"/>
      <c r="C179" s="311"/>
      <c r="D179" s="311"/>
      <c r="E179" s="311"/>
      <c r="F179" s="311"/>
      <c r="G179" s="311"/>
      <c r="H179" s="311"/>
      <c r="I179" s="311"/>
      <c r="J179" s="311"/>
      <c r="K179" s="311"/>
      <c r="L179" s="311"/>
      <c r="M179" s="326"/>
      <c r="N179" s="311"/>
      <c r="O179" s="311"/>
      <c r="P179" s="311"/>
      <c r="Q179" s="311"/>
      <c r="R179" s="311"/>
      <c r="S179" s="311"/>
      <c r="T179" s="311"/>
      <c r="U179" s="311"/>
      <c r="V179" s="311"/>
      <c r="W179" s="311"/>
      <c r="X179" s="311"/>
      <c r="Y179" s="311"/>
      <c r="Z179" s="311"/>
      <c r="AA179" s="311"/>
      <c r="AB179" s="311"/>
      <c r="AC179" s="311"/>
      <c r="AD179" s="311"/>
      <c r="AE179" s="311"/>
      <c r="AF179" s="311"/>
      <c r="AG179" s="311"/>
      <c r="AH179" s="311"/>
      <c r="AI179" s="311"/>
      <c r="AJ179" s="311"/>
      <c r="AK179" s="311"/>
      <c r="AL179" s="311"/>
      <c r="AM179" s="311"/>
      <c r="AN179" s="311"/>
      <c r="AO179" s="311"/>
    </row>
    <row r="180" spans="1:41">
      <c r="A180" s="311"/>
      <c r="B180" s="311"/>
      <c r="C180" s="311"/>
      <c r="D180" s="311"/>
      <c r="E180" s="311"/>
      <c r="F180" s="311"/>
      <c r="G180" s="311"/>
      <c r="H180" s="311"/>
      <c r="I180" s="311"/>
      <c r="J180" s="311"/>
      <c r="K180" s="311"/>
      <c r="L180" s="311"/>
      <c r="M180" s="326"/>
      <c r="N180" s="311"/>
      <c r="O180" s="311"/>
      <c r="P180" s="311"/>
      <c r="Q180" s="311"/>
      <c r="R180" s="311"/>
      <c r="S180" s="311"/>
      <c r="T180" s="311"/>
      <c r="U180" s="311"/>
      <c r="V180" s="311"/>
      <c r="W180" s="311"/>
      <c r="X180" s="311"/>
      <c r="Y180" s="311"/>
      <c r="Z180" s="311"/>
      <c r="AA180" s="311"/>
      <c r="AB180" s="311"/>
      <c r="AC180" s="311"/>
      <c r="AD180" s="311"/>
      <c r="AE180" s="311"/>
      <c r="AF180" s="311"/>
      <c r="AG180" s="311"/>
      <c r="AH180" s="311"/>
      <c r="AI180" s="311"/>
      <c r="AJ180" s="311"/>
      <c r="AK180" s="311"/>
      <c r="AL180" s="311"/>
      <c r="AM180" s="311"/>
      <c r="AN180" s="311"/>
      <c r="AO180" s="311"/>
    </row>
    <row r="181" spans="1:41">
      <c r="A181" s="311"/>
      <c r="B181" s="311"/>
      <c r="C181" s="311"/>
      <c r="D181" s="311"/>
      <c r="E181" s="311"/>
      <c r="F181" s="311"/>
      <c r="G181" s="311"/>
      <c r="H181" s="311"/>
      <c r="I181" s="311"/>
      <c r="J181" s="311"/>
      <c r="K181" s="311"/>
      <c r="L181" s="311"/>
      <c r="M181" s="326"/>
      <c r="N181" s="311"/>
      <c r="O181" s="311"/>
      <c r="P181" s="311"/>
      <c r="Q181" s="311"/>
      <c r="R181" s="311"/>
      <c r="S181" s="311"/>
      <c r="T181" s="311"/>
      <c r="U181" s="311"/>
      <c r="V181" s="311"/>
      <c r="W181" s="311"/>
      <c r="X181" s="311"/>
      <c r="Y181" s="311"/>
      <c r="Z181" s="311"/>
      <c r="AA181" s="311"/>
      <c r="AB181" s="311"/>
      <c r="AC181" s="311"/>
      <c r="AD181" s="311"/>
      <c r="AE181" s="311"/>
      <c r="AF181" s="311"/>
      <c r="AG181" s="311"/>
      <c r="AH181" s="311"/>
      <c r="AI181" s="311"/>
      <c r="AJ181" s="311"/>
      <c r="AK181" s="311"/>
      <c r="AL181" s="311"/>
      <c r="AM181" s="311"/>
      <c r="AN181" s="311"/>
      <c r="AO181" s="311"/>
    </row>
    <row r="182" spans="1:41">
      <c r="A182" s="311"/>
      <c r="B182" s="311"/>
      <c r="C182" s="311"/>
      <c r="D182" s="311"/>
      <c r="E182" s="311"/>
      <c r="F182" s="311"/>
      <c r="G182" s="311"/>
      <c r="H182" s="311"/>
      <c r="I182" s="311"/>
      <c r="J182" s="311"/>
      <c r="K182" s="311"/>
      <c r="L182" s="311"/>
      <c r="M182" s="326"/>
      <c r="N182" s="311"/>
      <c r="O182" s="311"/>
      <c r="P182" s="311"/>
      <c r="Q182" s="311"/>
      <c r="R182" s="311"/>
      <c r="S182" s="311"/>
      <c r="T182" s="311"/>
      <c r="U182" s="311"/>
      <c r="V182" s="311"/>
      <c r="W182" s="311"/>
      <c r="X182" s="311"/>
      <c r="Y182" s="311"/>
      <c r="Z182" s="311"/>
      <c r="AA182" s="311"/>
      <c r="AB182" s="311"/>
      <c r="AC182" s="311"/>
      <c r="AD182" s="311"/>
      <c r="AE182" s="311"/>
      <c r="AF182" s="311"/>
      <c r="AG182" s="311"/>
      <c r="AH182" s="311"/>
      <c r="AI182" s="311"/>
      <c r="AJ182" s="311"/>
      <c r="AK182" s="311"/>
      <c r="AL182" s="311"/>
      <c r="AM182" s="311"/>
      <c r="AN182" s="311"/>
      <c r="AO182" s="311"/>
    </row>
    <row r="183" spans="1:41">
      <c r="A183" s="311"/>
      <c r="B183" s="311"/>
      <c r="C183" s="311"/>
      <c r="D183" s="311"/>
      <c r="E183" s="311"/>
      <c r="F183" s="311"/>
      <c r="G183" s="311"/>
      <c r="H183" s="311"/>
      <c r="I183" s="311"/>
      <c r="J183" s="311"/>
      <c r="K183" s="311"/>
      <c r="L183" s="311"/>
      <c r="M183" s="326"/>
      <c r="N183" s="311"/>
      <c r="O183" s="311"/>
      <c r="P183" s="311"/>
      <c r="Q183" s="311"/>
      <c r="R183" s="311"/>
      <c r="S183" s="311"/>
      <c r="T183" s="311"/>
      <c r="U183" s="311"/>
      <c r="V183" s="311"/>
      <c r="W183" s="311"/>
      <c r="X183" s="311"/>
      <c r="Y183" s="311"/>
      <c r="Z183" s="311"/>
      <c r="AA183" s="311"/>
      <c r="AB183" s="311"/>
      <c r="AC183" s="311"/>
      <c r="AD183" s="311"/>
      <c r="AE183" s="311"/>
      <c r="AF183" s="311"/>
      <c r="AG183" s="311"/>
      <c r="AH183" s="311"/>
      <c r="AI183" s="311"/>
      <c r="AJ183" s="311"/>
      <c r="AK183" s="311"/>
      <c r="AL183" s="311"/>
      <c r="AM183" s="311"/>
      <c r="AN183" s="311"/>
      <c r="AO183" s="311"/>
    </row>
    <row r="184" spans="1:41">
      <c r="A184" s="311"/>
      <c r="B184" s="311"/>
      <c r="C184" s="311"/>
      <c r="D184" s="311"/>
      <c r="E184" s="311"/>
      <c r="F184" s="311"/>
      <c r="G184" s="311"/>
      <c r="H184" s="311"/>
      <c r="I184" s="311"/>
      <c r="J184" s="311"/>
      <c r="K184" s="311"/>
      <c r="L184" s="311"/>
      <c r="M184" s="326"/>
      <c r="N184" s="311"/>
      <c r="O184" s="311"/>
      <c r="P184" s="311"/>
      <c r="Q184" s="311"/>
      <c r="R184" s="311"/>
      <c r="S184" s="311"/>
      <c r="T184" s="311"/>
      <c r="U184" s="311"/>
      <c r="V184" s="311"/>
      <c r="W184" s="311"/>
      <c r="X184" s="311"/>
      <c r="Y184" s="311"/>
      <c r="Z184" s="311"/>
      <c r="AA184" s="311"/>
      <c r="AB184" s="311"/>
      <c r="AC184" s="311"/>
      <c r="AD184" s="311"/>
      <c r="AE184" s="311"/>
      <c r="AF184" s="311"/>
      <c r="AG184" s="311"/>
      <c r="AH184" s="311"/>
      <c r="AI184" s="311"/>
      <c r="AJ184" s="311"/>
      <c r="AK184" s="311"/>
      <c r="AL184" s="311"/>
      <c r="AM184" s="311"/>
      <c r="AN184" s="311"/>
      <c r="AO184" s="311"/>
    </row>
    <row r="185" spans="1:41">
      <c r="A185" s="311"/>
      <c r="B185" s="311"/>
      <c r="C185" s="311"/>
      <c r="D185" s="311"/>
      <c r="E185" s="311"/>
      <c r="F185" s="311"/>
      <c r="G185" s="311"/>
      <c r="H185" s="311"/>
      <c r="I185" s="311"/>
      <c r="J185" s="311"/>
      <c r="K185" s="311"/>
      <c r="L185" s="311"/>
      <c r="M185" s="326"/>
      <c r="N185" s="311"/>
      <c r="O185" s="311"/>
      <c r="P185" s="311"/>
      <c r="Q185" s="311"/>
      <c r="R185" s="311"/>
      <c r="S185" s="311"/>
      <c r="T185" s="311"/>
      <c r="U185" s="311"/>
      <c r="V185" s="311"/>
      <c r="W185" s="311"/>
      <c r="X185" s="311"/>
      <c r="Y185" s="311"/>
      <c r="Z185" s="311"/>
      <c r="AA185" s="311"/>
      <c r="AB185" s="311"/>
      <c r="AC185" s="311"/>
      <c r="AD185" s="311"/>
      <c r="AE185" s="311"/>
      <c r="AF185" s="311"/>
      <c r="AG185" s="311"/>
      <c r="AH185" s="311"/>
      <c r="AI185" s="311"/>
      <c r="AJ185" s="311"/>
      <c r="AK185" s="311"/>
      <c r="AL185" s="311"/>
      <c r="AM185" s="311"/>
      <c r="AN185" s="311"/>
      <c r="AO185" s="311"/>
    </row>
    <row r="186" spans="1:41">
      <c r="A186" s="311"/>
      <c r="B186" s="311"/>
      <c r="C186" s="311"/>
      <c r="D186" s="311"/>
      <c r="E186" s="311"/>
      <c r="F186" s="311"/>
      <c r="G186" s="311"/>
      <c r="H186" s="311"/>
      <c r="I186" s="311"/>
      <c r="J186" s="311"/>
      <c r="K186" s="311"/>
      <c r="L186" s="311"/>
      <c r="M186" s="326"/>
      <c r="N186" s="311"/>
      <c r="O186" s="311"/>
      <c r="P186" s="311"/>
      <c r="Q186" s="311"/>
      <c r="R186" s="311"/>
      <c r="S186" s="311"/>
      <c r="T186" s="311"/>
      <c r="U186" s="311"/>
      <c r="V186" s="311"/>
      <c r="W186" s="311"/>
      <c r="X186" s="311"/>
      <c r="Y186" s="311"/>
      <c r="Z186" s="311"/>
      <c r="AA186" s="311"/>
      <c r="AB186" s="311"/>
      <c r="AC186" s="311"/>
      <c r="AD186" s="311"/>
      <c r="AE186" s="311"/>
      <c r="AF186" s="311"/>
      <c r="AG186" s="311"/>
      <c r="AH186" s="311"/>
      <c r="AI186" s="311"/>
      <c r="AJ186" s="311"/>
      <c r="AK186" s="311"/>
      <c r="AL186" s="311"/>
      <c r="AM186" s="311"/>
      <c r="AN186" s="311"/>
      <c r="AO186" s="311"/>
    </row>
    <row r="187" spans="1:41">
      <c r="A187" s="311"/>
      <c r="B187" s="311"/>
      <c r="C187" s="311"/>
      <c r="D187" s="311"/>
      <c r="E187" s="311"/>
      <c r="F187" s="311"/>
      <c r="G187" s="311"/>
      <c r="H187" s="311"/>
      <c r="I187" s="311"/>
      <c r="J187" s="311"/>
      <c r="K187" s="311"/>
      <c r="L187" s="311"/>
      <c r="M187" s="326"/>
      <c r="N187" s="311"/>
      <c r="O187" s="311"/>
      <c r="P187" s="311"/>
      <c r="Q187" s="311"/>
      <c r="R187" s="311"/>
      <c r="S187" s="311"/>
      <c r="T187" s="311"/>
      <c r="U187" s="311"/>
      <c r="V187" s="311"/>
      <c r="W187" s="311"/>
      <c r="X187" s="311"/>
      <c r="Y187" s="311"/>
      <c r="Z187" s="311"/>
      <c r="AA187" s="311"/>
      <c r="AB187" s="311"/>
      <c r="AC187" s="311"/>
      <c r="AD187" s="311"/>
      <c r="AE187" s="311"/>
      <c r="AF187" s="311"/>
      <c r="AG187" s="311"/>
      <c r="AH187" s="311"/>
      <c r="AI187" s="311"/>
      <c r="AJ187" s="311"/>
      <c r="AK187" s="311"/>
      <c r="AL187" s="311"/>
      <c r="AM187" s="311"/>
      <c r="AN187" s="311"/>
      <c r="AO187" s="311"/>
    </row>
    <row r="188" spans="1:41">
      <c r="A188" s="311"/>
      <c r="B188" s="311"/>
      <c r="C188" s="311"/>
      <c r="D188" s="311"/>
      <c r="E188" s="311"/>
      <c r="F188" s="311"/>
      <c r="G188" s="311"/>
      <c r="H188" s="311"/>
      <c r="I188" s="311"/>
      <c r="J188" s="311"/>
      <c r="K188" s="311"/>
      <c r="L188" s="311"/>
      <c r="M188" s="326"/>
      <c r="N188" s="311"/>
      <c r="O188" s="311"/>
      <c r="P188" s="311"/>
      <c r="Q188" s="311"/>
      <c r="R188" s="311"/>
      <c r="S188" s="311"/>
      <c r="T188" s="311"/>
      <c r="U188" s="311"/>
      <c r="V188" s="311"/>
      <c r="W188" s="311"/>
      <c r="X188" s="311"/>
      <c r="Y188" s="311"/>
      <c r="Z188" s="311"/>
      <c r="AA188" s="311"/>
      <c r="AB188" s="311"/>
      <c r="AC188" s="311"/>
      <c r="AD188" s="311"/>
      <c r="AE188" s="311"/>
      <c r="AF188" s="311"/>
      <c r="AG188" s="311"/>
      <c r="AH188" s="311"/>
      <c r="AI188" s="311"/>
      <c r="AJ188" s="311"/>
      <c r="AK188" s="311"/>
      <c r="AL188" s="311"/>
      <c r="AM188" s="311"/>
      <c r="AN188" s="311"/>
      <c r="AO188" s="311"/>
    </row>
    <row r="189" spans="1:41">
      <c r="A189" s="311"/>
      <c r="B189" s="311"/>
      <c r="C189" s="311"/>
      <c r="D189" s="311"/>
      <c r="E189" s="311"/>
      <c r="F189" s="311"/>
      <c r="G189" s="311"/>
      <c r="H189" s="311"/>
      <c r="I189" s="311"/>
      <c r="J189" s="311"/>
      <c r="K189" s="311"/>
      <c r="L189" s="311"/>
      <c r="M189" s="326"/>
      <c r="N189" s="311"/>
      <c r="O189" s="311"/>
      <c r="P189" s="311"/>
      <c r="Q189" s="311"/>
      <c r="R189" s="311"/>
      <c r="S189" s="311"/>
      <c r="T189" s="311"/>
      <c r="U189" s="311"/>
      <c r="V189" s="311"/>
      <c r="W189" s="311"/>
      <c r="X189" s="311"/>
      <c r="Y189" s="311"/>
      <c r="Z189" s="311"/>
      <c r="AA189" s="311"/>
      <c r="AB189" s="311"/>
      <c r="AC189" s="311"/>
      <c r="AD189" s="311"/>
      <c r="AE189" s="311"/>
      <c r="AF189" s="311"/>
      <c r="AG189" s="311"/>
      <c r="AH189" s="311"/>
      <c r="AI189" s="311"/>
      <c r="AJ189" s="311"/>
      <c r="AK189" s="311"/>
      <c r="AL189" s="311"/>
      <c r="AM189" s="311"/>
      <c r="AN189" s="311"/>
      <c r="AO189" s="311"/>
    </row>
  </sheetData>
  <mergeCells count="39">
    <mergeCell ref="A134:Q134"/>
    <mergeCell ref="A1:G1"/>
    <mergeCell ref="F41:G41"/>
    <mergeCell ref="A2:B2"/>
    <mergeCell ref="D9:E9"/>
    <mergeCell ref="C2:D2"/>
    <mergeCell ref="A3:B3"/>
    <mergeCell ref="C3:D3"/>
    <mergeCell ref="E2:F2"/>
    <mergeCell ref="E3:F3"/>
    <mergeCell ref="A4:B4"/>
    <mergeCell ref="C4:D4"/>
    <mergeCell ref="E4:F4"/>
    <mergeCell ref="B9:C9"/>
    <mergeCell ref="B8:C8"/>
    <mergeCell ref="F8:G9"/>
    <mergeCell ref="D45:E45"/>
    <mergeCell ref="A8:A10"/>
    <mergeCell ref="F44:G45"/>
    <mergeCell ref="H44:H46"/>
    <mergeCell ref="B44:C44"/>
    <mergeCell ref="D44:E44"/>
    <mergeCell ref="D8:E8"/>
    <mergeCell ref="N9:P9"/>
    <mergeCell ref="B80:E80"/>
    <mergeCell ref="A112:Q112"/>
    <mergeCell ref="A136:B136"/>
    <mergeCell ref="K117:P117"/>
    <mergeCell ref="A116:A117"/>
    <mergeCell ref="A125:A126"/>
    <mergeCell ref="L80:O80"/>
    <mergeCell ref="P80:S80"/>
    <mergeCell ref="F80:I80"/>
    <mergeCell ref="A44:A46"/>
    <mergeCell ref="I8:I10"/>
    <mergeCell ref="H8:H10"/>
    <mergeCell ref="F77:G77"/>
    <mergeCell ref="I44:I46"/>
    <mergeCell ref="B45:C45"/>
  </mergeCells>
  <pageMargins left="0.7" right="0.7" top="0.75" bottom="0.75" header="0.3" footer="0.3"/>
  <pageSetup scale="6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C0B72-75B8-4414-BBC0-F6F156347E03}">
  <sheetPr>
    <tabColor theme="6"/>
  </sheetPr>
  <dimension ref="A1:AC65"/>
  <sheetViews>
    <sheetView topLeftCell="A29" workbookViewId="0">
      <selection activeCell="L11" sqref="L11"/>
    </sheetView>
  </sheetViews>
  <sheetFormatPr defaultColWidth="8.85546875" defaultRowHeight="12.75"/>
  <cols>
    <col min="1" max="1" width="29.5703125" style="484" customWidth="1"/>
    <col min="2" max="2" width="16.5703125" style="484" customWidth="1"/>
    <col min="3" max="3" width="18.140625" style="484" customWidth="1"/>
    <col min="4" max="4" width="20" style="484" customWidth="1"/>
    <col min="5" max="5" width="15.42578125" style="484" customWidth="1"/>
    <col min="6" max="6" width="16.140625" style="484" customWidth="1"/>
    <col min="7" max="7" width="17.28515625" style="484" customWidth="1"/>
    <col min="8" max="8" width="16.5703125" style="484" customWidth="1"/>
    <col min="9" max="10" width="13.85546875" style="484" bestFit="1" customWidth="1"/>
    <col min="11" max="11" width="8.28515625" style="484" customWidth="1"/>
    <col min="12" max="12" width="16.85546875" style="484" customWidth="1"/>
    <col min="13" max="13" width="6.7109375" style="484" customWidth="1"/>
    <col min="14" max="14" width="13.7109375" style="484" customWidth="1"/>
    <col min="15" max="15" width="8.85546875" style="484"/>
    <col min="16" max="16" width="8.28515625" style="484" customWidth="1"/>
    <col min="17" max="17" width="12.140625" style="484" customWidth="1"/>
    <col min="18" max="18" width="10.85546875" style="484" customWidth="1"/>
    <col min="19" max="19" width="9.85546875" style="484" customWidth="1"/>
    <col min="20" max="20" width="12" style="484" customWidth="1"/>
    <col min="21" max="21" width="12.28515625" style="484" customWidth="1"/>
    <col min="22" max="22" width="7.140625" style="484" bestFit="1" customWidth="1"/>
    <col min="23" max="24" width="9.140625" style="484" bestFit="1" customWidth="1"/>
    <col min="25" max="25" width="9.7109375" style="484" customWidth="1"/>
    <col min="26" max="26" width="18.28515625" style="484" customWidth="1"/>
    <col min="27" max="27" width="13" style="484" customWidth="1"/>
    <col min="28" max="28" width="12.5703125" style="484" customWidth="1"/>
    <col min="29" max="29" width="12.28515625" style="484" customWidth="1"/>
    <col min="30" max="30" width="2.7109375" style="484" bestFit="1" customWidth="1"/>
    <col min="31" max="16384" width="8.85546875" style="484"/>
  </cols>
  <sheetData>
    <row r="1" spans="1:29" ht="18" customHeight="1">
      <c r="A1" s="748" t="s">
        <v>301</v>
      </c>
      <c r="B1" s="748"/>
      <c r="C1" s="748"/>
      <c r="D1" s="748"/>
      <c r="E1" s="307"/>
      <c r="F1" s="307"/>
      <c r="G1" s="307"/>
      <c r="H1" s="307"/>
      <c r="I1" s="307"/>
      <c r="J1" s="307"/>
      <c r="K1" s="307"/>
      <c r="L1" s="469"/>
      <c r="M1" s="469"/>
      <c r="N1" s="469"/>
      <c r="O1" s="469"/>
      <c r="P1" s="469"/>
      <c r="Q1" s="469"/>
      <c r="R1" s="469"/>
      <c r="S1" s="469"/>
      <c r="T1" s="469"/>
      <c r="U1" s="299"/>
      <c r="V1" s="307"/>
      <c r="W1" s="307"/>
      <c r="X1" s="307"/>
      <c r="Y1" s="307"/>
      <c r="Z1" s="307"/>
      <c r="AA1" s="307"/>
      <c r="AB1" s="307"/>
      <c r="AC1" s="307"/>
    </row>
    <row r="2" spans="1:29" ht="18" customHeight="1">
      <c r="A2" s="749" t="s">
        <v>302</v>
      </c>
      <c r="B2" s="749"/>
      <c r="C2" s="750">
        <f>I38</f>
        <v>8545479.7557355706</v>
      </c>
      <c r="D2" s="750"/>
      <c r="E2" s="307"/>
      <c r="F2" s="307"/>
      <c r="G2" s="307"/>
      <c r="H2" s="307"/>
      <c r="I2" s="307"/>
      <c r="J2" s="307"/>
      <c r="K2" s="469"/>
      <c r="L2" s="469"/>
      <c r="M2" s="469"/>
      <c r="N2" s="469"/>
      <c r="O2" s="469"/>
      <c r="P2" s="469"/>
      <c r="Q2" s="469"/>
      <c r="R2" s="469"/>
      <c r="S2" s="469"/>
      <c r="T2" s="299"/>
      <c r="U2" s="307"/>
      <c r="V2" s="307"/>
      <c r="W2" s="307"/>
      <c r="X2" s="307"/>
      <c r="Y2" s="307"/>
      <c r="Z2" s="307"/>
      <c r="AA2" s="307"/>
      <c r="AB2" s="307"/>
      <c r="AC2" s="307"/>
    </row>
    <row r="3" spans="1:29" ht="18" customHeight="1">
      <c r="A3" s="749" t="s">
        <v>303</v>
      </c>
      <c r="B3" s="749"/>
      <c r="C3" s="750">
        <f>J38</f>
        <v>4301902.0487152729</v>
      </c>
      <c r="D3" s="750"/>
      <c r="E3" s="307"/>
      <c r="F3" s="485"/>
      <c r="G3" s="485"/>
      <c r="H3" s="307"/>
      <c r="I3" s="307"/>
      <c r="J3" s="307"/>
      <c r="K3" s="469"/>
      <c r="L3" s="469"/>
      <c r="M3" s="469"/>
      <c r="N3" s="469"/>
      <c r="O3" s="469"/>
      <c r="P3" s="469"/>
      <c r="Q3" s="469"/>
      <c r="R3" s="469"/>
      <c r="S3" s="469"/>
      <c r="T3" s="299"/>
      <c r="U3" s="307"/>
      <c r="V3" s="307"/>
      <c r="W3" s="307"/>
      <c r="X3" s="307"/>
      <c r="Y3" s="307"/>
      <c r="Z3" s="307"/>
      <c r="AA3" s="307"/>
      <c r="AB3" s="307"/>
      <c r="AC3" s="307"/>
    </row>
    <row r="6" spans="1:29" s="495" customFormat="1" ht="38.25" customHeight="1">
      <c r="A6" s="734" t="s">
        <v>76</v>
      </c>
      <c r="B6" s="734" t="s">
        <v>304</v>
      </c>
      <c r="C6" s="723" t="s">
        <v>305</v>
      </c>
      <c r="D6" s="724"/>
      <c r="E6" s="725"/>
      <c r="F6" s="751" t="s">
        <v>306</v>
      </c>
      <c r="G6" s="752"/>
      <c r="H6" s="752"/>
      <c r="I6" s="752"/>
      <c r="J6" s="752"/>
    </row>
    <row r="7" spans="1:29" s="495" customFormat="1" ht="25.5">
      <c r="A7" s="754"/>
      <c r="B7" s="754"/>
      <c r="C7" s="578" t="s">
        <v>307</v>
      </c>
      <c r="D7" s="578" t="s">
        <v>308</v>
      </c>
      <c r="E7" s="578" t="s">
        <v>309</v>
      </c>
      <c r="F7" s="547" t="s">
        <v>307</v>
      </c>
      <c r="G7" s="547" t="s">
        <v>308</v>
      </c>
      <c r="H7" s="547" t="s">
        <v>309</v>
      </c>
      <c r="I7" s="547" t="s">
        <v>64</v>
      </c>
      <c r="J7" s="547" t="s">
        <v>310</v>
      </c>
    </row>
    <row r="8" spans="1:29">
      <c r="A8" s="488">
        <v>2034</v>
      </c>
      <c r="B8" s="496">
        <f>('TT &amp; OS'!F47+'TT &amp; OS'!G47)/1000000</f>
        <v>2.2268429871614352</v>
      </c>
      <c r="C8" s="519">
        <f>((B8*$B$42))*$B$51/100</f>
        <v>6.66122384885147E-3</v>
      </c>
      <c r="D8" s="519">
        <f>((B8*$B$42))*$B$52/100</f>
        <v>0.37334955837177153</v>
      </c>
      <c r="E8" s="519">
        <f>((B8*$B$42))*$B$53/100</f>
        <v>0.56644479427944194</v>
      </c>
      <c r="F8" s="524">
        <f>C8*$B$60</f>
        <v>98626.080306094867</v>
      </c>
      <c r="G8" s="524">
        <f>D8*$B$61</f>
        <v>123018.67948349872</v>
      </c>
      <c r="H8" s="524">
        <f>E8*$B$62</f>
        <v>5381.2255456546982</v>
      </c>
      <c r="I8" s="525">
        <f>SUM(F8:H8)</f>
        <v>227025.98533524826</v>
      </c>
      <c r="J8" s="525">
        <f>I8*NPV!C11</f>
        <v>177830.49894513088</v>
      </c>
    </row>
    <row r="9" spans="1:29">
      <c r="A9" s="488">
        <f t="shared" ref="A9:A31" si="0">A8+1</f>
        <v>2035</v>
      </c>
      <c r="B9" s="496">
        <f>('TT &amp; OS'!F48+'TT &amp; OS'!G48)/1000000</f>
        <v>2.2607543016867564</v>
      </c>
      <c r="C9" s="519">
        <f t="shared" ref="C9:C37" si="1">((B9*$B$42))*$B$51/100</f>
        <v>6.7626638059406384E-3</v>
      </c>
      <c r="D9" s="519">
        <f t="shared" ref="D9:D37" si="2">((B9*$B$42))*$B$52/100</f>
        <v>0.37903508464139585</v>
      </c>
      <c r="E9" s="519">
        <f t="shared" ref="E9:E37" si="3">((B9*$B$42))*$B$53/100</f>
        <v>0.57507085713649442</v>
      </c>
      <c r="F9" s="524">
        <f t="shared" ref="F9:F37" si="4">C9*$B$60</f>
        <v>100128.0003107571</v>
      </c>
      <c r="G9" s="524">
        <f t="shared" ref="G9:G37" si="5">D9*$B$61</f>
        <v>124892.06038933994</v>
      </c>
      <c r="H9" s="524">
        <f t="shared" ref="H9:H37" si="6">E9*$B$62</f>
        <v>5463.173142796697</v>
      </c>
      <c r="I9" s="525">
        <f t="shared" ref="I9:I37" si="7">SUM(F9:H9)</f>
        <v>230483.23384289374</v>
      </c>
      <c r="J9" s="525">
        <f>I9*NPV!C12</f>
        <v>175110.16256961357</v>
      </c>
    </row>
    <row r="10" spans="1:29">
      <c r="A10" s="488">
        <f t="shared" si="0"/>
        <v>2036</v>
      </c>
      <c r="B10" s="496">
        <f>('TT &amp; OS'!F49+'TT &amp; OS'!G49)/1000000</f>
        <v>2.2951820321692304</v>
      </c>
      <c r="C10" s="519">
        <f t="shared" si="1"/>
        <v>6.865648533949692E-3</v>
      </c>
      <c r="D10" s="519">
        <f t="shared" si="2"/>
        <v>0.38480719252932488</v>
      </c>
      <c r="E10" s="519">
        <f t="shared" si="3"/>
        <v>0.5838282813568304</v>
      </c>
      <c r="F10" s="524">
        <f t="shared" si="4"/>
        <v>101652.79219365914</v>
      </c>
      <c r="G10" s="524">
        <f t="shared" si="5"/>
        <v>126793.96993841254</v>
      </c>
      <c r="H10" s="524">
        <f t="shared" si="6"/>
        <v>5546.3686728898892</v>
      </c>
      <c r="I10" s="525">
        <f t="shared" si="7"/>
        <v>233993.13080496158</v>
      </c>
      <c r="J10" s="525">
        <f>I10*NPV!C13</f>
        <v>172431.44014692609</v>
      </c>
    </row>
    <row r="11" spans="1:29">
      <c r="A11" s="488">
        <f t="shared" si="0"/>
        <v>2037</v>
      </c>
      <c r="B11" s="496">
        <f>('TT &amp; OS'!F50+'TT &amp; OS'!G50)/1000000</f>
        <v>2.3301340428114385</v>
      </c>
      <c r="C11" s="519">
        <f t="shared" si="1"/>
        <v>6.970201557309443E-3</v>
      </c>
      <c r="D11" s="519">
        <f t="shared" si="2"/>
        <v>0.39066720053739196</v>
      </c>
      <c r="E11" s="519">
        <f t="shared" si="3"/>
        <v>0.59271906736735003</v>
      </c>
      <c r="F11" s="524">
        <f t="shared" si="4"/>
        <v>103200.80425752362</v>
      </c>
      <c r="G11" s="524">
        <f t="shared" si="5"/>
        <v>128724.84257707065</v>
      </c>
      <c r="H11" s="524">
        <f t="shared" si="6"/>
        <v>5630.8311399898257</v>
      </c>
      <c r="I11" s="525">
        <f t="shared" si="7"/>
        <v>237556.47797458409</v>
      </c>
      <c r="J11" s="525">
        <f>I11*NPV!C14</f>
        <v>169793.69509364903</v>
      </c>
    </row>
    <row r="12" spans="1:29">
      <c r="A12" s="488">
        <f t="shared" si="0"/>
        <v>2038</v>
      </c>
      <c r="B12" s="496">
        <f>('TT &amp; OS'!F51+'TT &amp; OS'!G51)/1000000</f>
        <v>2.3656183175750747</v>
      </c>
      <c r="C12" s="519">
        <f t="shared" si="1"/>
        <v>7.07634675868982E-3</v>
      </c>
      <c r="D12" s="519">
        <f t="shared" si="2"/>
        <v>0.39661644724608486</v>
      </c>
      <c r="E12" s="519">
        <f t="shared" si="3"/>
        <v>0.60174524605822599</v>
      </c>
      <c r="F12" s="524">
        <f t="shared" si="4"/>
        <v>104772.39010916147</v>
      </c>
      <c r="G12" s="524">
        <f t="shared" si="5"/>
        <v>130685.11936758496</v>
      </c>
      <c r="H12" s="524">
        <f t="shared" si="6"/>
        <v>5716.5798375531467</v>
      </c>
      <c r="I12" s="525">
        <f t="shared" si="7"/>
        <v>241174.08931429958</v>
      </c>
      <c r="J12" s="525">
        <f>I12*NPV!C15</f>
        <v>167196.30056438205</v>
      </c>
    </row>
    <row r="13" spans="1:29">
      <c r="A13" s="488">
        <f t="shared" si="0"/>
        <v>2039</v>
      </c>
      <c r="B13" s="496">
        <f>('TT &amp; OS'!F52+'TT &amp; OS'!G52)/1000000</f>
        <v>2.4016429620051158</v>
      </c>
      <c r="C13" s="519">
        <f t="shared" si="1"/>
        <v>7.184108384456561E-3</v>
      </c>
      <c r="D13" s="519">
        <f t="shared" si="2"/>
        <v>0.40265629162038463</v>
      </c>
      <c r="E13" s="519">
        <f t="shared" si="3"/>
        <v>0.61090887924692072</v>
      </c>
      <c r="F13" s="524">
        <f t="shared" si="4"/>
        <v>106367.90874026384</v>
      </c>
      <c r="G13" s="524">
        <f t="shared" si="5"/>
        <v>132675.24808891673</v>
      </c>
      <c r="H13" s="524">
        <f t="shared" si="6"/>
        <v>5803.6343528457464</v>
      </c>
      <c r="I13" s="525">
        <f t="shared" si="7"/>
        <v>244846.79118202633</v>
      </c>
      <c r="J13" s="525">
        <f>I13*NPV!C16</f>
        <v>164638.63930281039</v>
      </c>
    </row>
    <row r="14" spans="1:29">
      <c r="A14" s="488">
        <f t="shared" si="0"/>
        <v>2040</v>
      </c>
      <c r="B14" s="496">
        <f>('TT &amp; OS'!F53+'TT &amp; OS'!G53)/1000000</f>
        <v>2.4382162050813512</v>
      </c>
      <c r="C14" s="519">
        <f t="shared" si="1"/>
        <v>7.2935110502097529E-3</v>
      </c>
      <c r="D14" s="519">
        <f t="shared" si="2"/>
        <v>0.40878811332019005</v>
      </c>
      <c r="E14" s="519">
        <f t="shared" si="3"/>
        <v>0.62021206014916197</v>
      </c>
      <c r="F14" s="524">
        <f t="shared" si="4"/>
        <v>107987.7246094056</v>
      </c>
      <c r="G14" s="524">
        <f t="shared" si="5"/>
        <v>134695.68333900263</v>
      </c>
      <c r="H14" s="524">
        <f t="shared" si="6"/>
        <v>5892.0145714170385</v>
      </c>
      <c r="I14" s="525">
        <f t="shared" si="7"/>
        <v>248575.42251982525</v>
      </c>
      <c r="J14" s="525">
        <f>I14*NPV!C17</f>
        <v>162120.10349501637</v>
      </c>
    </row>
    <row r="15" spans="1:29">
      <c r="A15" s="488">
        <f t="shared" si="0"/>
        <v>2041</v>
      </c>
      <c r="B15" s="496">
        <f>('TT &amp; OS'!F54+'TT &amp; OS'!G54)/1000000</f>
        <v>2.4753464010977</v>
      </c>
      <c r="C15" s="519">
        <f t="shared" si="1"/>
        <v>7.4045797464054874E-3</v>
      </c>
      <c r="D15" s="519">
        <f t="shared" si="2"/>
        <v>0.41501331301540156</v>
      </c>
      <c r="E15" s="519">
        <f t="shared" si="3"/>
        <v>0.62965691385698708</v>
      </c>
      <c r="F15" s="524">
        <f t="shared" si="4"/>
        <v>109632.20772527964</v>
      </c>
      <c r="G15" s="524">
        <f t="shared" si="5"/>
        <v>136746.88663857483</v>
      </c>
      <c r="H15" s="524">
        <f t="shared" si="6"/>
        <v>5981.7406816413768</v>
      </c>
      <c r="I15" s="525">
        <f t="shared" si="7"/>
        <v>252360.83504549586</v>
      </c>
      <c r="J15" s="525">
        <f>I15*NPV!C18</f>
        <v>159640.09462500914</v>
      </c>
    </row>
    <row r="16" spans="1:29">
      <c r="A16" s="488">
        <f t="shared" si="0"/>
        <v>2042</v>
      </c>
      <c r="B16" s="496">
        <f>('TT &amp; OS'!F55+'TT &amp; OS'!G55)/1000000</f>
        <v>2.5130420315712394</v>
      </c>
      <c r="C16" s="519">
        <f t="shared" si="1"/>
        <v>7.5173398440663954E-3</v>
      </c>
      <c r="D16" s="519">
        <f t="shared" si="2"/>
        <v>0.42133331270598645</v>
      </c>
      <c r="E16" s="519">
        <f t="shared" si="3"/>
        <v>0.63924559782434487</v>
      </c>
      <c r="F16" s="524">
        <f t="shared" si="4"/>
        <v>111301.73373124705</v>
      </c>
      <c r="G16" s="524">
        <f t="shared" si="5"/>
        <v>138829.32653662254</v>
      </c>
      <c r="H16" s="524">
        <f t="shared" si="6"/>
        <v>6072.8331793312764</v>
      </c>
      <c r="I16" s="525">
        <f t="shared" si="7"/>
        <v>256203.89344720086</v>
      </c>
      <c r="J16" s="525">
        <f>I16*NPV!C19</f>
        <v>157198.02333253628</v>
      </c>
    </row>
    <row r="17" spans="1:10">
      <c r="A17" s="488">
        <f t="shared" si="0"/>
        <v>2043</v>
      </c>
      <c r="B17" s="496">
        <f>('TT &amp; OS'!F56+'TT &amp; OS'!G56)/1000000</f>
        <v>2.5513117071789204</v>
      </c>
      <c r="C17" s="519">
        <f t="shared" si="1"/>
        <v>7.6318171005750109E-3</v>
      </c>
      <c r="D17" s="519">
        <f t="shared" si="2"/>
        <v>0.42774955604668619</v>
      </c>
      <c r="E17" s="519">
        <f t="shared" si="3"/>
        <v>0.64898030235974025</v>
      </c>
      <c r="F17" s="524">
        <f t="shared" si="4"/>
        <v>112996.6839911136</v>
      </c>
      <c r="G17" s="524">
        <f t="shared" si="5"/>
        <v>140943.47871738308</v>
      </c>
      <c r="H17" s="524">
        <f t="shared" si="6"/>
        <v>6165.3128724175322</v>
      </c>
      <c r="I17" s="525">
        <f t="shared" si="7"/>
        <v>260105.47558091421</v>
      </c>
      <c r="J17" s="525">
        <f>I17*NPV!C20</f>
        <v>154793.30927298029</v>
      </c>
    </row>
    <row r="18" spans="1:10">
      <c r="A18" s="488">
        <f t="shared" si="0"/>
        <v>2044</v>
      </c>
      <c r="B18" s="496">
        <f>('TT &amp; OS'!F57+'TT &amp; OS'!G57)/1000000</f>
        <v>2.5901641697248294</v>
      </c>
      <c r="C18" s="519">
        <f t="shared" si="1"/>
        <v>7.7480376655584982E-3</v>
      </c>
      <c r="D18" s="519">
        <f t="shared" si="2"/>
        <v>0.43426350867684504</v>
      </c>
      <c r="E18" s="519">
        <f t="shared" si="3"/>
        <v>0.65886325112664923</v>
      </c>
      <c r="F18" s="524">
        <f t="shared" si="4"/>
        <v>114717.44567625913</v>
      </c>
      <c r="G18" s="524">
        <f t="shared" si="5"/>
        <v>143089.82610902045</v>
      </c>
      <c r="H18" s="524">
        <f t="shared" si="6"/>
        <v>6259.2008857031678</v>
      </c>
      <c r="I18" s="525">
        <f t="shared" si="7"/>
        <v>264066.47267098271</v>
      </c>
      <c r="J18" s="525">
        <f>I18*NPV!C21</f>
        <v>152425.38097946654</v>
      </c>
    </row>
    <row r="19" spans="1:10">
      <c r="A19" s="488">
        <f t="shared" si="0"/>
        <v>2045</v>
      </c>
      <c r="B19" s="496">
        <f>('TT &amp; OS'!F58+'TT &amp; OS'!G58)/1000000</f>
        <v>2.6296082941369341</v>
      </c>
      <c r="C19" s="519">
        <f t="shared" si="1"/>
        <v>7.8660280868615741E-3</v>
      </c>
      <c r="D19" s="519">
        <f t="shared" si="2"/>
        <v>0.44087665855518127</v>
      </c>
      <c r="E19" s="519">
        <f t="shared" si="3"/>
        <v>0.66889670165143367</v>
      </c>
      <c r="F19" s="524">
        <f t="shared" si="4"/>
        <v>116464.41185407246</v>
      </c>
      <c r="G19" s="524">
        <f t="shared" si="5"/>
        <v>145268.85899393223</v>
      </c>
      <c r="H19" s="524">
        <f t="shared" si="6"/>
        <v>6354.5186656886199</v>
      </c>
      <c r="I19" s="525">
        <f t="shared" si="7"/>
        <v>268087.78951369331</v>
      </c>
      <c r="J19" s="525">
        <f>I19*NPV!C22</f>
        <v>150093.67572704985</v>
      </c>
    </row>
    <row r="20" spans="1:10">
      <c r="A20" s="488">
        <f t="shared" si="0"/>
        <v>2046</v>
      </c>
      <c r="B20" s="496">
        <f>('TT &amp; OS'!F59+'TT &amp; OS'!G59)/1000000</f>
        <v>2.6696530904943123</v>
      </c>
      <c r="C20" s="519">
        <f t="shared" si="1"/>
        <v>7.9858153166106251E-3</v>
      </c>
      <c r="D20" s="519">
        <f t="shared" si="2"/>
        <v>0.44759051629967017</v>
      </c>
      <c r="E20" s="519">
        <f t="shared" si="3"/>
        <v>0.67908294583900952</v>
      </c>
      <c r="F20" s="524">
        <f t="shared" si="4"/>
        <v>118237.98157773692</v>
      </c>
      <c r="G20" s="524">
        <f t="shared" si="5"/>
        <v>147481.07512074133</v>
      </c>
      <c r="H20" s="524">
        <f t="shared" si="6"/>
        <v>6451.2879854705907</v>
      </c>
      <c r="I20" s="525">
        <f t="shared" si="7"/>
        <v>272170.34468394885</v>
      </c>
      <c r="J20" s="525">
        <f>I20*NPV!C23</f>
        <v>147797.63939898455</v>
      </c>
    </row>
    <row r="21" spans="1:10">
      <c r="A21" s="488">
        <f t="shared" si="0"/>
        <v>2047</v>
      </c>
      <c r="B21" s="496">
        <f>('TT &amp; OS'!F60+'TT &amp; OS'!G60)/1000000</f>
        <v>2.7103077060855925</v>
      </c>
      <c r="C21" s="519">
        <f t="shared" si="1"/>
        <v>8.1074267173711807E-3</v>
      </c>
      <c r="D21" s="519">
        <f t="shared" si="2"/>
        <v>0.45440661553265949</v>
      </c>
      <c r="E21" s="519">
        <f t="shared" si="3"/>
        <v>0.68942431049645547</v>
      </c>
      <c r="F21" s="524">
        <f t="shared" si="4"/>
        <v>120038.5599773977</v>
      </c>
      <c r="G21" s="524">
        <f t="shared" si="5"/>
        <v>149726.97981801131</v>
      </c>
      <c r="H21" s="524">
        <f t="shared" si="6"/>
        <v>6549.5309497163271</v>
      </c>
      <c r="I21" s="525">
        <f t="shared" si="7"/>
        <v>276315.07074512535</v>
      </c>
      <c r="J21" s="525">
        <f>I21*NPV!C24</f>
        <v>145536.72635505852</v>
      </c>
    </row>
    <row r="22" spans="1:10">
      <c r="A22" s="488">
        <f t="shared" si="0"/>
        <v>2048</v>
      </c>
      <c r="B22" s="496">
        <f>('TT &amp; OS'!F61+'TT &amp; OS'!G61)/1000000</f>
        <v>2.7515814274980204</v>
      </c>
      <c r="C22" s="519">
        <f t="shared" si="1"/>
        <v>8.2308900683970097E-3</v>
      </c>
      <c r="D22" s="519">
        <f t="shared" si="2"/>
        <v>0.46132651323111917</v>
      </c>
      <c r="E22" s="519">
        <f t="shared" si="3"/>
        <v>0.69992315786441084</v>
      </c>
      <c r="F22" s="524">
        <f t="shared" si="4"/>
        <v>121866.55835268613</v>
      </c>
      <c r="G22" s="524">
        <f t="shared" si="5"/>
        <v>152007.08610965376</v>
      </c>
      <c r="H22" s="524">
        <f t="shared" si="6"/>
        <v>6649.2699997119025</v>
      </c>
      <c r="I22" s="525">
        <f t="shared" si="7"/>
        <v>280522.91446205176</v>
      </c>
      <c r="J22" s="525">
        <f>I22*NPV!C25</f>
        <v>143310.39930190123</v>
      </c>
    </row>
    <row r="23" spans="1:10">
      <c r="A23" s="488">
        <f t="shared" si="0"/>
        <v>2049</v>
      </c>
      <c r="B23" s="496">
        <f>('TT &amp; OS'!F62+'TT &amp; OS'!G62)/1000000</f>
        <v>2.7934836827391236</v>
      </c>
      <c r="C23" s="519">
        <f t="shared" si="1"/>
        <v>8.3562335719767084E-3</v>
      </c>
      <c r="D23" s="519">
        <f t="shared" si="2"/>
        <v>0.46835179008235722</v>
      </c>
      <c r="E23" s="519">
        <f t="shared" si="3"/>
        <v>0.71058188615676643</v>
      </c>
      <c r="F23" s="524">
        <f t="shared" si="4"/>
        <v>123722.39426668714</v>
      </c>
      <c r="G23" s="524">
        <f t="shared" si="5"/>
        <v>154321.91483213671</v>
      </c>
      <c r="H23" s="524">
        <f t="shared" si="6"/>
        <v>6750.5279184892806</v>
      </c>
      <c r="I23" s="525">
        <f t="shared" si="7"/>
        <v>284794.83701731317</v>
      </c>
      <c r="J23" s="525">
        <f>I23*NPV!C26</f>
        <v>141118.12916531885</v>
      </c>
    </row>
    <row r="24" spans="1:10">
      <c r="A24" s="488">
        <f t="shared" si="0"/>
        <v>2050</v>
      </c>
      <c r="B24" s="496">
        <f>('TT &amp; OS'!F63+'TT &amp; OS'!G63)/1000000</f>
        <v>2.8360240433899908</v>
      </c>
      <c r="C24" s="519">
        <f t="shared" si="1"/>
        <v>8.4834858598748838E-3</v>
      </c>
      <c r="D24" s="519">
        <f t="shared" si="2"/>
        <v>0.4754840508450357</v>
      </c>
      <c r="E24" s="519">
        <f t="shared" si="3"/>
        <v>0.72140293010839684</v>
      </c>
      <c r="F24" s="524">
        <f t="shared" si="4"/>
        <v>125606.49164130753</v>
      </c>
      <c r="G24" s="524">
        <f t="shared" si="5"/>
        <v>156671.99475343927</v>
      </c>
      <c r="H24" s="524">
        <f t="shared" si="6"/>
        <v>6853.32783602977</v>
      </c>
      <c r="I24" s="525">
        <f t="shared" si="7"/>
        <v>289131.81423077657</v>
      </c>
      <c r="J24" s="525">
        <f>I24*NPV!C27</f>
        <v>138959.39496454553</v>
      </c>
    </row>
    <row r="25" spans="1:10">
      <c r="A25" s="488">
        <f t="shared" si="0"/>
        <v>2051</v>
      </c>
      <c r="B25" s="496">
        <f>('TT &amp; OS'!F64+'TT &amp; OS'!G64)/1000000</f>
        <v>2.8785644040408731</v>
      </c>
      <c r="C25" s="519">
        <f t="shared" si="1"/>
        <v>8.6107381477731042E-3</v>
      </c>
      <c r="D25" s="519">
        <f t="shared" si="2"/>
        <v>0.48261631160771662</v>
      </c>
      <c r="E25" s="519">
        <f t="shared" si="3"/>
        <v>0.73222397406003092</v>
      </c>
      <c r="F25" s="524">
        <f t="shared" si="4"/>
        <v>127490.58901592858</v>
      </c>
      <c r="G25" s="524">
        <f t="shared" si="5"/>
        <v>159022.07467474262</v>
      </c>
      <c r="H25" s="524">
        <f t="shared" si="6"/>
        <v>6956.1277535702939</v>
      </c>
      <c r="I25" s="525">
        <f t="shared" si="7"/>
        <v>293468.79144424148</v>
      </c>
      <c r="J25" s="525">
        <f>I25*NPV!C28</f>
        <v>136802.89610961714</v>
      </c>
    </row>
    <row r="26" spans="1:10">
      <c r="A26" s="488">
        <f t="shared" si="0"/>
        <v>2052</v>
      </c>
      <c r="B26" s="496">
        <f>('TT &amp; OS'!F65+'TT &amp; OS'!G65)/1000000</f>
        <v>2.9217428701013923</v>
      </c>
      <c r="C26" s="519">
        <f t="shared" si="1"/>
        <v>8.7398992199894197E-3</v>
      </c>
      <c r="D26" s="519">
        <f t="shared" si="2"/>
        <v>0.48985555628181671</v>
      </c>
      <c r="E26" s="519">
        <f t="shared" si="3"/>
        <v>0.74320733367090763</v>
      </c>
      <c r="F26" s="524">
        <f t="shared" si="4"/>
        <v>129402.94785116335</v>
      </c>
      <c r="G26" s="524">
        <f t="shared" si="5"/>
        <v>161407.40579485861</v>
      </c>
      <c r="H26" s="524">
        <f t="shared" si="6"/>
        <v>7060.4696698736225</v>
      </c>
      <c r="I26" s="525">
        <f t="shared" si="7"/>
        <v>297870.82331589563</v>
      </c>
      <c r="J26" s="525">
        <f>I26*NPV!C29</f>
        <v>134679.86377425509</v>
      </c>
    </row>
    <row r="27" spans="1:10">
      <c r="A27" s="488">
        <f t="shared" si="0"/>
        <v>2053</v>
      </c>
      <c r="B27" s="496">
        <f>('TT &amp; OS'!F66+'TT &amp; OS'!G66)/1000000</f>
        <v>2.9655690131529271</v>
      </c>
      <c r="C27" s="519">
        <f t="shared" si="1"/>
        <v>8.8709977082893025E-3</v>
      </c>
      <c r="D27" s="519">
        <f t="shared" si="2"/>
        <v>0.49720338962604627</v>
      </c>
      <c r="E27" s="519">
        <f t="shared" si="3"/>
        <v>0.75435544367597474</v>
      </c>
      <c r="F27" s="524">
        <f t="shared" si="4"/>
        <v>131343.9920689314</v>
      </c>
      <c r="G27" s="524">
        <f t="shared" si="5"/>
        <v>163828.51688178224</v>
      </c>
      <c r="H27" s="524">
        <f t="shared" si="6"/>
        <v>7166.3767149217601</v>
      </c>
      <c r="I27" s="525">
        <f t="shared" si="7"/>
        <v>302338.88566563546</v>
      </c>
      <c r="J27" s="525">
        <f>I27*NPV!C30</f>
        <v>132589.77859444186</v>
      </c>
    </row>
    <row r="28" spans="1:10">
      <c r="A28" s="488">
        <f t="shared" si="0"/>
        <v>2054</v>
      </c>
      <c r="B28" s="496">
        <f>('TT &amp; OS'!F67+'TT &amp; OS'!G67)/1000000</f>
        <v>3.0100525483503193</v>
      </c>
      <c r="C28" s="519">
        <f t="shared" si="1"/>
        <v>9.004062673913937E-3</v>
      </c>
      <c r="D28" s="519">
        <f t="shared" si="2"/>
        <v>0.50466144047045336</v>
      </c>
      <c r="E28" s="519">
        <f t="shared" si="3"/>
        <v>0.76567077533113936</v>
      </c>
      <c r="F28" s="524">
        <f t="shared" si="4"/>
        <v>133314.15194996976</v>
      </c>
      <c r="G28" s="524">
        <f t="shared" si="5"/>
        <v>166285.94463501437</v>
      </c>
      <c r="H28" s="524">
        <f t="shared" si="6"/>
        <v>7273.8723656458242</v>
      </c>
      <c r="I28" s="525">
        <f t="shared" si="7"/>
        <v>306873.96895062993</v>
      </c>
      <c r="J28" s="525">
        <f>I28*NPV!C31</f>
        <v>130532.12926611333</v>
      </c>
    </row>
    <row r="29" spans="1:10">
      <c r="A29" s="488">
        <f t="shared" si="0"/>
        <v>2055</v>
      </c>
      <c r="B29" s="496">
        <f>('TT &amp; OS'!F68+'TT &amp; OS'!G68)/1000000</f>
        <v>3.0552033365755977</v>
      </c>
      <c r="C29" s="519">
        <f t="shared" si="1"/>
        <v>9.1391236140227171E-3</v>
      </c>
      <c r="D29" s="519">
        <f t="shared" si="2"/>
        <v>0.51223136207751419</v>
      </c>
      <c r="E29" s="519">
        <f t="shared" si="3"/>
        <v>0.77715583696111257</v>
      </c>
      <c r="F29" s="524">
        <f t="shared" si="4"/>
        <v>135313.86422922034</v>
      </c>
      <c r="G29" s="524">
        <f t="shared" si="5"/>
        <v>168780.23380454091</v>
      </c>
      <c r="H29" s="524">
        <f t="shared" si="6"/>
        <v>7382.9804511305692</v>
      </c>
      <c r="I29" s="525">
        <f t="shared" si="7"/>
        <v>311477.0784848918</v>
      </c>
      <c r="J29" s="525">
        <f>I29*NPV!C32</f>
        <v>128506.41242008348</v>
      </c>
    </row>
    <row r="30" spans="1:10">
      <c r="A30" s="488">
        <f t="shared" si="0"/>
        <v>2056</v>
      </c>
      <c r="B30" s="496">
        <f>('TT &amp; OS'!F69+'TT &amp; OS'!G69)/1000000</f>
        <v>3.101031386624217</v>
      </c>
      <c r="C30" s="519">
        <f t="shared" si="1"/>
        <v>9.2762104682330131E-3</v>
      </c>
      <c r="D30" s="519">
        <f t="shared" si="2"/>
        <v>0.51991483250867443</v>
      </c>
      <c r="E30" s="519">
        <f t="shared" si="3"/>
        <v>0.78881317451552535</v>
      </c>
      <c r="F30" s="524">
        <f t="shared" si="4"/>
        <v>137343.572192658</v>
      </c>
      <c r="G30" s="524">
        <f t="shared" si="5"/>
        <v>171311.93731160823</v>
      </c>
      <c r="H30" s="524">
        <f t="shared" si="6"/>
        <v>7493.725157897491</v>
      </c>
      <c r="I30" s="525">
        <f t="shared" si="7"/>
        <v>316149.23466216371</v>
      </c>
      <c r="J30" s="525">
        <f>I30*NPV!C33</f>
        <v>126512.13249891768</v>
      </c>
    </row>
    <row r="31" spans="1:10">
      <c r="A31" s="488">
        <f t="shared" si="0"/>
        <v>2057</v>
      </c>
      <c r="B31" s="496">
        <f>('TT &amp; OS'!F70+'TT &amp; OS'!G70)/1000000</f>
        <v>3.1475468574236332</v>
      </c>
      <c r="C31" s="519">
        <f t="shared" si="1"/>
        <v>9.4153536252566655E-3</v>
      </c>
      <c r="D31" s="519">
        <f t="shared" si="2"/>
        <v>0.52771355499631345</v>
      </c>
      <c r="E31" s="519">
        <f t="shared" si="3"/>
        <v>0.8006453721332718</v>
      </c>
      <c r="F31" s="524">
        <f t="shared" si="4"/>
        <v>139403.72577555018</v>
      </c>
      <c r="G31" s="524">
        <f t="shared" si="5"/>
        <v>173881.61637128529</v>
      </c>
      <c r="H31" s="524">
        <f t="shared" si="6"/>
        <v>7606.1310352660821</v>
      </c>
      <c r="I31" s="525">
        <f t="shared" si="7"/>
        <v>320891.47318210156</v>
      </c>
      <c r="J31" s="525">
        <f>I31*NPV!C34</f>
        <v>124548.80163569702</v>
      </c>
    </row>
    <row r="32" spans="1:10">
      <c r="A32" s="488">
        <f>A31+1</f>
        <v>2058</v>
      </c>
      <c r="B32" s="496">
        <f>('TT &amp; OS'!F71+'TT &amp; OS'!G71)/1000000</f>
        <v>3.1947600602849722</v>
      </c>
      <c r="C32" s="519">
        <f t="shared" si="1"/>
        <v>9.5565839296354697E-3</v>
      </c>
      <c r="D32" s="519">
        <f t="shared" si="2"/>
        <v>0.53562925832125563</v>
      </c>
      <c r="E32" s="519">
        <f t="shared" si="3"/>
        <v>0.81265505271526695</v>
      </c>
      <c r="F32" s="524">
        <f t="shared" si="4"/>
        <v>141494.78166218277</v>
      </c>
      <c r="G32" s="524">
        <f t="shared" si="5"/>
        <v>176489.84061685373</v>
      </c>
      <c r="H32" s="524">
        <f t="shared" si="6"/>
        <v>7720.2230007950357</v>
      </c>
      <c r="I32" s="525">
        <f t="shared" si="7"/>
        <v>325704.84527983156</v>
      </c>
      <c r="J32" s="525">
        <f>I32*NPV!C35</f>
        <v>122615.93953465749</v>
      </c>
    </row>
    <row r="33" spans="1:10">
      <c r="A33" s="488">
        <f t="shared" ref="A33:A37" si="8">A32+1</f>
        <v>2059</v>
      </c>
      <c r="B33" s="496">
        <f>('TT &amp; OS'!F72+'TT &amp; OS'!G72)/1000000</f>
        <v>3.24268146118927</v>
      </c>
      <c r="C33" s="519">
        <f t="shared" si="1"/>
        <v>9.6999326885800711E-3</v>
      </c>
      <c r="D33" s="519">
        <f t="shared" si="2"/>
        <v>0.54366369719607821</v>
      </c>
      <c r="E33" s="519">
        <f t="shared" si="3"/>
        <v>0.82484487850600174</v>
      </c>
      <c r="F33" s="524">
        <f t="shared" si="4"/>
        <v>143617.20338711652</v>
      </c>
      <c r="G33" s="524">
        <f t="shared" si="5"/>
        <v>179137.18822610777</v>
      </c>
      <c r="H33" s="524">
        <f t="shared" si="6"/>
        <v>7836.0263458070167</v>
      </c>
      <c r="I33" s="525">
        <f t="shared" si="7"/>
        <v>330590.4179590313</v>
      </c>
      <c r="J33" s="525">
        <f>I33*NPV!C36</f>
        <v>120713.07335371312</v>
      </c>
    </row>
    <row r="34" spans="1:10">
      <c r="A34" s="488">
        <f t="shared" si="8"/>
        <v>2060</v>
      </c>
      <c r="B34" s="496">
        <f>('TT &amp; OS'!F73+'TT &amp; OS'!G73)/1000000</f>
        <v>3.2913216831070482</v>
      </c>
      <c r="C34" s="519">
        <f t="shared" si="1"/>
        <v>9.8454316789085908E-3</v>
      </c>
      <c r="D34" s="519">
        <f t="shared" si="2"/>
        <v>0.5518186526540092</v>
      </c>
      <c r="E34" s="519">
        <f t="shared" si="3"/>
        <v>0.83721755168357637</v>
      </c>
      <c r="F34" s="524">
        <f t="shared" si="4"/>
        <v>145771.4614379206</v>
      </c>
      <c r="G34" s="524">
        <f t="shared" si="5"/>
        <v>181824.24604949603</v>
      </c>
      <c r="H34" s="524">
        <f t="shared" si="6"/>
        <v>7953.5667409939751</v>
      </c>
      <c r="I34" s="525">
        <f t="shared" si="7"/>
        <v>335549.27422841062</v>
      </c>
      <c r="J34" s="525">
        <f>I34*NPV!C37</f>
        <v>118839.73758876485</v>
      </c>
    </row>
    <row r="35" spans="1:10">
      <c r="A35" s="488">
        <f t="shared" si="8"/>
        <v>2061</v>
      </c>
      <c r="B35" s="496">
        <f>('TT &amp; OS'!F74+'TT &amp; OS'!G74)/1000000</f>
        <v>3.3406915083536655</v>
      </c>
      <c r="C35" s="519">
        <f t="shared" si="1"/>
        <v>9.9931131540922542E-3</v>
      </c>
      <c r="D35" s="519">
        <f t="shared" si="2"/>
        <v>0.56009593244382139</v>
      </c>
      <c r="E35" s="519">
        <f t="shared" si="3"/>
        <v>0.84977581495883303</v>
      </c>
      <c r="F35" s="524">
        <f t="shared" si="4"/>
        <v>147958.03335948993</v>
      </c>
      <c r="G35" s="524">
        <f t="shared" si="5"/>
        <v>184551.60974023916</v>
      </c>
      <c r="H35" s="524">
        <f t="shared" si="6"/>
        <v>8072.8702421089138</v>
      </c>
      <c r="I35" s="525">
        <f t="shared" si="7"/>
        <v>340582.51334183803</v>
      </c>
      <c r="J35" s="525">
        <f>I35*NPV!C38</f>
        <v>116995.47395984169</v>
      </c>
    </row>
    <row r="36" spans="1:10">
      <c r="A36" s="488">
        <f t="shared" si="8"/>
        <v>2062</v>
      </c>
      <c r="B36" s="496">
        <f>('TT &amp; OS'!F75+'TT &amp; OS'!G75)/1000000</f>
        <v>3.3908018809789717</v>
      </c>
      <c r="C36" s="519">
        <f t="shared" si="1"/>
        <v>1.0143009851403642E-2</v>
      </c>
      <c r="D36" s="519">
        <f t="shared" si="2"/>
        <v>0.56849737143047885</v>
      </c>
      <c r="E36" s="519">
        <f t="shared" si="3"/>
        <v>0.86252245218321577</v>
      </c>
      <c r="F36" s="524">
        <f t="shared" si="4"/>
        <v>150177.40385988232</v>
      </c>
      <c r="G36" s="524">
        <f t="shared" si="5"/>
        <v>187319.88388634278</v>
      </c>
      <c r="H36" s="524">
        <f t="shared" si="6"/>
        <v>8193.9632957405502</v>
      </c>
      <c r="I36" s="525">
        <f t="shared" si="7"/>
        <v>345691.25104196568</v>
      </c>
      <c r="J36" s="525">
        <f>I36*NPV!C39</f>
        <v>115179.83129897124</v>
      </c>
    </row>
    <row r="37" spans="1:10">
      <c r="A37" s="488">
        <f t="shared" si="8"/>
        <v>2063</v>
      </c>
      <c r="B37" s="496">
        <f>('TT &amp; OS'!F76+'TT &amp; OS'!G76)/1000000</f>
        <v>3.4416639091936201</v>
      </c>
      <c r="C37" s="519">
        <f t="shared" si="1"/>
        <v>1.0295154999174588E-2</v>
      </c>
      <c r="D37" s="519">
        <f t="shared" si="2"/>
        <v>0.57702483200192989</v>
      </c>
      <c r="E37" s="519">
        <f t="shared" si="3"/>
        <v>0.87546028896595485</v>
      </c>
      <c r="F37" s="524">
        <f t="shared" si="4"/>
        <v>152430.06491777895</v>
      </c>
      <c r="G37" s="524">
        <f t="shared" si="5"/>
        <v>190129.68214463591</v>
      </c>
      <c r="H37" s="524">
        <f t="shared" si="6"/>
        <v>8316.8727451765717</v>
      </c>
      <c r="I37" s="525">
        <f t="shared" si="7"/>
        <v>350876.61980759143</v>
      </c>
      <c r="J37" s="525">
        <f>I37*NPV!C40</f>
        <v>113392.36543982013</v>
      </c>
    </row>
    <row r="38" spans="1:10" ht="13.5" thickBot="1">
      <c r="H38" s="486" t="s">
        <v>51</v>
      </c>
      <c r="I38" s="526">
        <f>SUM(I8:I37)</f>
        <v>8545479.7557355706</v>
      </c>
      <c r="J38" s="526">
        <f>SUM(J8:J37)</f>
        <v>4301902.0487152729</v>
      </c>
    </row>
    <row r="39" spans="1:10">
      <c r="A39" s="489" t="s">
        <v>311</v>
      </c>
      <c r="B39" s="490"/>
    </row>
    <row r="40" spans="1:10">
      <c r="A40" s="491" t="s">
        <v>312</v>
      </c>
      <c r="B40" s="492">
        <v>7277377.5669630002</v>
      </c>
    </row>
    <row r="41" spans="1:10">
      <c r="A41" s="491" t="s">
        <v>313</v>
      </c>
      <c r="B41" s="492">
        <f>'TT &amp; OS'!B98</f>
        <v>1263129.056142</v>
      </c>
    </row>
    <row r="42" spans="1:10" ht="13.5" thickBot="1">
      <c r="A42" s="493" t="s">
        <v>314</v>
      </c>
      <c r="B42" s="494">
        <f>B41/B40</f>
        <v>0.17356926235024656</v>
      </c>
    </row>
    <row r="43" spans="1:10" ht="13.5" thickBot="1"/>
    <row r="44" spans="1:10" ht="15">
      <c r="A44" s="497" t="s">
        <v>76</v>
      </c>
      <c r="B44" s="498" t="s">
        <v>315</v>
      </c>
      <c r="C44" s="498" t="s">
        <v>316</v>
      </c>
      <c r="D44" s="498" t="s">
        <v>317</v>
      </c>
      <c r="E44" s="499" t="s">
        <v>318</v>
      </c>
    </row>
    <row r="45" spans="1:10" ht="15">
      <c r="A45" s="500">
        <v>2023</v>
      </c>
      <c r="B45" s="501">
        <v>4034</v>
      </c>
      <c r="C45" s="518">
        <v>26</v>
      </c>
      <c r="D45" s="518">
        <v>1602</v>
      </c>
      <c r="E45" s="502">
        <v>16.57</v>
      </c>
    </row>
    <row r="46" spans="1:10" ht="15">
      <c r="A46" s="500">
        <v>2022</v>
      </c>
      <c r="B46" s="501">
        <v>3825</v>
      </c>
      <c r="C46" s="518">
        <v>24</v>
      </c>
      <c r="D46" s="518">
        <v>1470</v>
      </c>
      <c r="E46" s="502">
        <v>16.010000000000002</v>
      </c>
    </row>
    <row r="47" spans="1:10" ht="15.75" thickBot="1">
      <c r="A47" s="503">
        <v>2021</v>
      </c>
      <c r="B47" s="548">
        <v>3934</v>
      </c>
      <c r="C47" s="549">
        <v>33</v>
      </c>
      <c r="D47" s="549">
        <v>1580</v>
      </c>
      <c r="E47" s="504">
        <v>15.58</v>
      </c>
    </row>
    <row r="48" spans="1:10" ht="15">
      <c r="A48" s="505" t="s">
        <v>319</v>
      </c>
      <c r="B48" s="506"/>
      <c r="C48" s="506"/>
      <c r="D48" s="506"/>
      <c r="E48" s="506"/>
    </row>
    <row r="49" spans="1:6" ht="13.5" thickBot="1"/>
    <row r="50" spans="1:6" ht="15">
      <c r="A50" s="497" t="s">
        <v>320</v>
      </c>
      <c r="B50" s="507" t="s">
        <v>312</v>
      </c>
    </row>
    <row r="51" spans="1:6" ht="15">
      <c r="A51" s="500" t="s">
        <v>307</v>
      </c>
      <c r="B51" s="508">
        <f>SUM(C45:C47)/SUM(E45:E47)</f>
        <v>1.7234219269102991</v>
      </c>
    </row>
    <row r="52" spans="1:6" ht="15">
      <c r="A52" s="500" t="s">
        <v>308</v>
      </c>
      <c r="B52" s="508">
        <f>SUM(D45:D47)/SUM(E45:E47)</f>
        <v>96.594684385382067</v>
      </c>
    </row>
    <row r="53" spans="1:6" ht="15.75" thickBot="1">
      <c r="A53" s="503" t="s">
        <v>321</v>
      </c>
      <c r="B53" s="509">
        <f>(SUM(B45:B47)-SUM(C45:C47)-SUM(D45:D47))/SUM(E45:E47)</f>
        <v>146.55315614617942</v>
      </c>
    </row>
    <row r="54" spans="1:6" ht="15">
      <c r="A54" s="505" t="s">
        <v>319</v>
      </c>
      <c r="B54" s="510"/>
    </row>
    <row r="57" spans="1:6" ht="15.75">
      <c r="A57" s="512" t="s">
        <v>322</v>
      </c>
      <c r="B57" s="510"/>
      <c r="C57" s="510"/>
      <c r="D57" s="510"/>
      <c r="E57" s="510"/>
      <c r="F57" s="520"/>
    </row>
    <row r="58" spans="1:6" ht="15">
      <c r="A58" s="513"/>
      <c r="B58" s="510"/>
      <c r="C58" s="510"/>
      <c r="D58" s="510"/>
      <c r="E58" s="510"/>
      <c r="F58" s="520"/>
    </row>
    <row r="59" spans="1:6" ht="15">
      <c r="A59" s="514" t="s">
        <v>323</v>
      </c>
      <c r="B59" s="510"/>
      <c r="C59" s="515" t="s">
        <v>324</v>
      </c>
      <c r="D59" s="510"/>
      <c r="E59" s="510"/>
      <c r="F59" s="520"/>
    </row>
    <row r="60" spans="1:6" ht="15">
      <c r="A60" s="516" t="s">
        <v>307</v>
      </c>
      <c r="B60" s="517">
        <v>14806000</v>
      </c>
      <c r="C60" s="753" t="s">
        <v>325</v>
      </c>
      <c r="D60" s="753"/>
      <c r="E60" s="510"/>
      <c r="F60" s="520"/>
    </row>
    <row r="61" spans="1:6" ht="15">
      <c r="A61" s="516" t="s">
        <v>308</v>
      </c>
      <c r="B61" s="517">
        <v>329500</v>
      </c>
      <c r="C61" s="753" t="s">
        <v>325</v>
      </c>
      <c r="D61" s="753"/>
      <c r="E61" s="510"/>
      <c r="F61" s="520"/>
    </row>
    <row r="62" spans="1:6" ht="15">
      <c r="A62" s="516" t="s">
        <v>321</v>
      </c>
      <c r="B62" s="517">
        <v>9500</v>
      </c>
      <c r="C62" s="753" t="s">
        <v>325</v>
      </c>
      <c r="D62" s="753"/>
      <c r="E62" s="510"/>
      <c r="F62" s="520"/>
    </row>
    <row r="63" spans="1:6" ht="15">
      <c r="A63" s="511"/>
    </row>
    <row r="64" spans="1:6" ht="15">
      <c r="A64" s="511"/>
    </row>
    <row r="65" spans="1:7" ht="15">
      <c r="A65" s="520"/>
      <c r="B65" s="521"/>
      <c r="C65" s="522"/>
      <c r="D65" s="523"/>
      <c r="E65" s="520"/>
      <c r="F65" s="520"/>
      <c r="G65" s="520"/>
    </row>
  </sheetData>
  <mergeCells count="12">
    <mergeCell ref="C60:D60"/>
    <mergeCell ref="C61:D61"/>
    <mergeCell ref="C62:D62"/>
    <mergeCell ref="A6:A7"/>
    <mergeCell ref="B6:B7"/>
    <mergeCell ref="C6:E6"/>
    <mergeCell ref="F6:J6"/>
    <mergeCell ref="A1:D1"/>
    <mergeCell ref="A2:B2"/>
    <mergeCell ref="C2:D2"/>
    <mergeCell ref="A3:B3"/>
    <mergeCell ref="C3:D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pageSetUpPr fitToPage="1"/>
  </sheetPr>
  <dimension ref="A1:X20"/>
  <sheetViews>
    <sheetView zoomScaleNormal="100" workbookViewId="0">
      <selection activeCell="B5" sqref="B5"/>
    </sheetView>
  </sheetViews>
  <sheetFormatPr defaultColWidth="8.7109375" defaultRowHeight="16.5"/>
  <cols>
    <col min="1" max="2" width="16.42578125" style="15" customWidth="1"/>
    <col min="3" max="3" width="13.5703125" style="15" customWidth="1"/>
    <col min="4" max="4" width="12.42578125" style="15" customWidth="1"/>
    <col min="5" max="5" width="13.28515625" style="15" customWidth="1"/>
    <col min="6" max="6" width="14.28515625" style="15" customWidth="1"/>
    <col min="7" max="9" width="14.140625" style="15" bestFit="1" customWidth="1"/>
    <col min="10" max="10" width="15.140625" style="14" bestFit="1" customWidth="1"/>
    <col min="11" max="22" width="8.7109375" style="14"/>
    <col min="23" max="24" width="8.7109375" style="18"/>
    <col min="25" max="16384" width="8.7109375" style="15"/>
  </cols>
  <sheetData>
    <row r="1" spans="1:12">
      <c r="A1" s="12" t="s">
        <v>326</v>
      </c>
      <c r="B1" s="12"/>
      <c r="C1" s="13"/>
      <c r="D1" s="13"/>
      <c r="E1" s="13"/>
      <c r="F1" s="13"/>
      <c r="G1" s="13"/>
      <c r="H1" s="13"/>
      <c r="I1" s="13"/>
      <c r="J1" s="13"/>
      <c r="K1" s="13"/>
      <c r="L1" s="13"/>
    </row>
    <row r="2" spans="1:12">
      <c r="A2" s="12"/>
      <c r="B2" s="12"/>
      <c r="C2" s="13"/>
      <c r="D2" s="13"/>
      <c r="E2" s="13"/>
      <c r="F2" s="13"/>
      <c r="G2" s="13"/>
      <c r="H2" s="13"/>
      <c r="I2" s="13"/>
      <c r="J2" s="13"/>
      <c r="K2" s="13"/>
      <c r="L2" s="13"/>
    </row>
    <row r="3" spans="1:12">
      <c r="A3" s="756" t="s">
        <v>327</v>
      </c>
      <c r="B3" s="757"/>
      <c r="C3" s="757"/>
      <c r="D3" s="757"/>
      <c r="J3" s="15"/>
      <c r="K3" s="10"/>
      <c r="L3" s="10"/>
    </row>
    <row r="4" spans="1:12">
      <c r="A4" s="27"/>
      <c r="B4" s="28" t="s">
        <v>224</v>
      </c>
      <c r="C4" s="28" t="s">
        <v>328</v>
      </c>
      <c r="D4" s="28" t="s">
        <v>81</v>
      </c>
      <c r="J4" s="15"/>
      <c r="K4" s="10"/>
      <c r="L4" s="10"/>
    </row>
    <row r="5" spans="1:12">
      <c r="A5" s="29" t="s">
        <v>329</v>
      </c>
      <c r="B5" s="31">
        <f>150000/NPV!C5</f>
        <v>159444.14999999997</v>
      </c>
      <c r="C5" s="32">
        <v>15000</v>
      </c>
      <c r="D5" s="32">
        <f>C5-B5</f>
        <v>-144444.14999999997</v>
      </c>
      <c r="E5" s="16"/>
      <c r="F5" s="16"/>
      <c r="G5" s="16"/>
      <c r="H5" s="16"/>
      <c r="I5" s="16"/>
      <c r="J5" s="16"/>
      <c r="K5" s="10"/>
      <c r="L5" s="10"/>
    </row>
    <row r="6" spans="1:12">
      <c r="A6" s="755" t="s">
        <v>330</v>
      </c>
      <c r="B6" s="755"/>
      <c r="C6" s="30"/>
      <c r="D6" s="30"/>
      <c r="E6" s="10"/>
      <c r="F6" s="10"/>
      <c r="G6" s="10"/>
      <c r="H6" s="10"/>
      <c r="I6" s="10"/>
      <c r="J6" s="10"/>
      <c r="K6" s="10"/>
      <c r="L6" s="10"/>
    </row>
    <row r="7" spans="1:12">
      <c r="A7" s="17"/>
      <c r="B7" s="17"/>
      <c r="C7" s="17"/>
      <c r="D7" s="17"/>
      <c r="E7" s="17"/>
      <c r="F7" s="17"/>
      <c r="G7" s="17"/>
      <c r="H7" s="17"/>
      <c r="I7" s="11"/>
      <c r="J7" s="11"/>
      <c r="K7" s="11"/>
      <c r="L7" s="11"/>
    </row>
    <row r="9" spans="1:12">
      <c r="A9" s="756" t="s">
        <v>331</v>
      </c>
      <c r="B9" s="757"/>
      <c r="C9" s="757"/>
      <c r="D9" s="757"/>
    </row>
    <row r="10" spans="1:12">
      <c r="A10" s="27"/>
      <c r="B10" s="28" t="s">
        <v>224</v>
      </c>
      <c r="C10" s="28" t="s">
        <v>328</v>
      </c>
      <c r="D10" s="28" t="s">
        <v>81</v>
      </c>
    </row>
    <row r="11" spans="1:12">
      <c r="A11" s="29">
        <v>2015</v>
      </c>
      <c r="B11" s="31">
        <f>690000</f>
        <v>690000</v>
      </c>
      <c r="C11" s="32">
        <v>0</v>
      </c>
      <c r="D11" s="32">
        <f t="shared" ref="D11:D19" si="0">C11-B11</f>
        <v>-690000</v>
      </c>
      <c r="E11" s="15" t="s">
        <v>332</v>
      </c>
    </row>
    <row r="12" spans="1:12">
      <c r="A12" s="29">
        <f>A11+5</f>
        <v>2020</v>
      </c>
      <c r="B12" s="31"/>
      <c r="C12" s="32">
        <v>0</v>
      </c>
      <c r="D12" s="32">
        <f t="shared" si="0"/>
        <v>0</v>
      </c>
      <c r="E12" s="15" t="s">
        <v>333</v>
      </c>
    </row>
    <row r="13" spans="1:12">
      <c r="A13" s="29">
        <f t="shared" ref="A13:A19" si="1">A12+5</f>
        <v>2025</v>
      </c>
      <c r="B13" s="31"/>
      <c r="C13" s="32">
        <v>0</v>
      </c>
      <c r="D13" s="32">
        <f t="shared" si="0"/>
        <v>0</v>
      </c>
    </row>
    <row r="14" spans="1:12">
      <c r="A14" s="29">
        <f t="shared" si="1"/>
        <v>2030</v>
      </c>
      <c r="B14" s="31"/>
      <c r="C14" s="32">
        <v>0</v>
      </c>
      <c r="D14" s="32">
        <f t="shared" si="0"/>
        <v>0</v>
      </c>
    </row>
    <row r="15" spans="1:12">
      <c r="A15" s="29">
        <f t="shared" si="1"/>
        <v>2035</v>
      </c>
      <c r="B15" s="31"/>
      <c r="C15" s="32">
        <v>0</v>
      </c>
      <c r="D15" s="32">
        <f t="shared" si="0"/>
        <v>0</v>
      </c>
    </row>
    <row r="16" spans="1:12">
      <c r="A16" s="29">
        <f t="shared" si="1"/>
        <v>2040</v>
      </c>
      <c r="B16" s="31"/>
      <c r="C16" s="32">
        <v>0</v>
      </c>
      <c r="D16" s="32">
        <f t="shared" si="0"/>
        <v>0</v>
      </c>
    </row>
    <row r="17" spans="1:4">
      <c r="A17" s="29">
        <f t="shared" si="1"/>
        <v>2045</v>
      </c>
      <c r="B17" s="31"/>
      <c r="C17" s="32">
        <v>0</v>
      </c>
      <c r="D17" s="32">
        <f t="shared" si="0"/>
        <v>0</v>
      </c>
    </row>
    <row r="18" spans="1:4">
      <c r="A18" s="29">
        <f t="shared" si="1"/>
        <v>2050</v>
      </c>
      <c r="B18" s="31"/>
      <c r="C18" s="32">
        <v>0</v>
      </c>
      <c r="D18" s="32">
        <f t="shared" si="0"/>
        <v>0</v>
      </c>
    </row>
    <row r="19" spans="1:4">
      <c r="A19" s="29">
        <f t="shared" si="1"/>
        <v>2055</v>
      </c>
      <c r="B19" s="31"/>
      <c r="C19" s="32">
        <v>0</v>
      </c>
      <c r="D19" s="32">
        <f t="shared" si="0"/>
        <v>0</v>
      </c>
    </row>
    <row r="20" spans="1:4">
      <c r="A20" s="755" t="s">
        <v>330</v>
      </c>
      <c r="B20" s="755"/>
      <c r="C20" s="30"/>
      <c r="D20" s="30"/>
    </row>
  </sheetData>
  <mergeCells count="4">
    <mergeCell ref="A20:B20"/>
    <mergeCell ref="A3:D3"/>
    <mergeCell ref="A6:B6"/>
    <mergeCell ref="A9:D9"/>
  </mergeCells>
  <pageMargins left="0.25" right="0.25"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CACFE-AB91-415D-93CD-4570A9EE8E69}">
  <sheetPr>
    <tabColor theme="6"/>
    <pageSetUpPr fitToPage="1"/>
  </sheetPr>
  <dimension ref="A1:X109"/>
  <sheetViews>
    <sheetView zoomScale="80" zoomScaleNormal="80" workbookViewId="0">
      <selection activeCell="I18" sqref="I18"/>
    </sheetView>
  </sheetViews>
  <sheetFormatPr defaultRowHeight="12.75"/>
  <cols>
    <col min="1" max="1" width="32.140625" customWidth="1"/>
    <col min="2" max="2" width="14.28515625" customWidth="1"/>
    <col min="3" max="3" width="16.140625" customWidth="1"/>
    <col min="4" max="4" width="14.28515625" customWidth="1"/>
    <col min="5" max="5" width="18" customWidth="1"/>
    <col min="6" max="6" width="15.7109375" customWidth="1"/>
    <col min="7" max="7" width="15.42578125" customWidth="1"/>
    <col min="8" max="8" width="15.140625" customWidth="1"/>
    <col min="9" max="9" width="20.85546875" customWidth="1"/>
    <col min="10" max="10" width="16.7109375" customWidth="1"/>
    <col min="11" max="11" width="15" customWidth="1"/>
    <col min="12" max="12" width="18" customWidth="1"/>
    <col min="13" max="13" width="15.28515625" customWidth="1"/>
    <col min="14" max="15" width="17.28515625" bestFit="1" customWidth="1"/>
  </cols>
  <sheetData>
    <row r="1" spans="1:24" ht="18" customHeight="1">
      <c r="A1" s="791" t="s">
        <v>334</v>
      </c>
      <c r="B1" s="792"/>
      <c r="C1" s="792"/>
      <c r="D1" s="299"/>
      <c r="E1" s="299"/>
      <c r="F1" s="299"/>
      <c r="G1" s="299"/>
      <c r="H1" s="299"/>
      <c r="I1" s="299"/>
      <c r="J1" s="299"/>
      <c r="K1" s="299"/>
      <c r="L1" s="299"/>
      <c r="M1" s="299"/>
      <c r="N1" s="299"/>
      <c r="O1" s="299"/>
      <c r="P1" s="299"/>
      <c r="Q1" s="299"/>
      <c r="R1" s="299"/>
      <c r="S1" s="299"/>
      <c r="T1" s="299"/>
    </row>
    <row r="2" spans="1:24" ht="18" customHeight="1">
      <c r="A2" s="793" t="s">
        <v>335</v>
      </c>
      <c r="B2" s="794"/>
      <c r="C2" s="577">
        <f>J38</f>
        <v>26959444</v>
      </c>
      <c r="D2" s="299"/>
      <c r="E2" s="299"/>
      <c r="F2" s="299"/>
      <c r="G2" s="299"/>
      <c r="H2" s="299"/>
      <c r="I2" s="299"/>
      <c r="J2" s="299"/>
      <c r="K2" s="299"/>
      <c r="L2" s="299"/>
      <c r="M2" s="299"/>
      <c r="N2" s="299"/>
      <c r="O2" s="299"/>
      <c r="P2" s="299"/>
      <c r="Q2" s="299"/>
      <c r="R2" s="299"/>
      <c r="S2" s="299"/>
      <c r="T2" s="299"/>
    </row>
    <row r="3" spans="1:24" ht="33.75" customHeight="1">
      <c r="A3" s="793" t="s">
        <v>336</v>
      </c>
      <c r="B3" s="794"/>
      <c r="C3" s="577">
        <f>M38</f>
        <v>14916063.305139018</v>
      </c>
      <c r="D3" s="299"/>
      <c r="E3" s="299"/>
      <c r="F3" s="299"/>
      <c r="G3" s="299"/>
      <c r="H3" s="299"/>
      <c r="I3" s="299"/>
      <c r="J3" s="299"/>
      <c r="K3" s="299"/>
      <c r="L3" s="299"/>
      <c r="M3" s="299"/>
      <c r="N3" s="299"/>
      <c r="O3" s="299"/>
      <c r="P3" s="299"/>
      <c r="Q3" s="299"/>
      <c r="R3" s="299"/>
      <c r="S3" s="299"/>
      <c r="T3" s="299"/>
    </row>
    <row r="4" spans="1:24">
      <c r="A4" s="299"/>
      <c r="B4" s="299"/>
      <c r="C4" s="299"/>
      <c r="D4" s="299"/>
      <c r="E4" s="299"/>
      <c r="F4" s="299"/>
      <c r="G4" s="299"/>
      <c r="H4" s="299"/>
      <c r="I4" s="299"/>
      <c r="J4" s="468">
        <f>H8+I8</f>
        <v>623198</v>
      </c>
      <c r="K4" s="299"/>
      <c r="L4" s="299"/>
      <c r="M4" s="299"/>
      <c r="N4" s="299"/>
      <c r="O4" s="299"/>
      <c r="P4" s="299"/>
      <c r="Q4" s="299"/>
      <c r="R4" s="299"/>
      <c r="S4" s="299"/>
      <c r="T4" s="299"/>
    </row>
    <row r="5" spans="1:24">
      <c r="A5" s="795" t="s">
        <v>337</v>
      </c>
      <c r="B5" s="796"/>
      <c r="C5" s="796"/>
      <c r="D5" s="796"/>
      <c r="E5" s="796"/>
      <c r="F5" s="796"/>
      <c r="G5" s="796"/>
      <c r="H5" s="796"/>
      <c r="I5" s="796"/>
      <c r="J5" s="796"/>
      <c r="K5" s="796"/>
      <c r="L5" s="796"/>
      <c r="M5" s="796"/>
      <c r="N5" s="299"/>
      <c r="O5" s="299"/>
      <c r="P5" s="299"/>
      <c r="Q5" s="299"/>
      <c r="R5" s="299"/>
      <c r="S5" s="299"/>
      <c r="T5" s="299"/>
    </row>
    <row r="6" spans="1:24" ht="12.95" customHeight="1">
      <c r="A6" s="605" t="s">
        <v>76</v>
      </c>
      <c r="B6" s="766" t="s">
        <v>338</v>
      </c>
      <c r="C6" s="766"/>
      <c r="D6" s="797" t="s">
        <v>339</v>
      </c>
      <c r="E6" s="798"/>
      <c r="F6" s="798"/>
      <c r="G6" s="798"/>
      <c r="H6" s="766" t="s">
        <v>340</v>
      </c>
      <c r="I6" s="766" t="s">
        <v>341</v>
      </c>
      <c r="J6" s="766" t="s">
        <v>342</v>
      </c>
      <c r="K6" s="766" t="s">
        <v>343</v>
      </c>
      <c r="L6" s="766" t="s">
        <v>344</v>
      </c>
      <c r="M6" s="766" t="s">
        <v>345</v>
      </c>
      <c r="N6" s="299"/>
      <c r="O6" s="299"/>
      <c r="P6" s="299"/>
      <c r="Q6" s="299"/>
      <c r="R6" s="299"/>
      <c r="S6" s="299"/>
      <c r="T6" s="299"/>
      <c r="U6" s="299"/>
      <c r="V6" s="299"/>
      <c r="W6" s="299"/>
      <c r="X6" s="299"/>
    </row>
    <row r="7" spans="1:24" ht="61.5" customHeight="1" thickBot="1">
      <c r="A7" s="606"/>
      <c r="B7" s="581" t="s">
        <v>170</v>
      </c>
      <c r="C7" s="581" t="s">
        <v>171</v>
      </c>
      <c r="D7" s="581" t="s">
        <v>346</v>
      </c>
      <c r="E7" s="581" t="s">
        <v>347</v>
      </c>
      <c r="F7" s="581" t="s">
        <v>348</v>
      </c>
      <c r="G7" s="581" t="s">
        <v>349</v>
      </c>
      <c r="H7" s="799"/>
      <c r="I7" s="799"/>
      <c r="J7" s="799"/>
      <c r="K7" s="799"/>
      <c r="L7" s="799"/>
      <c r="M7" s="799"/>
      <c r="N7" s="299"/>
      <c r="O7" s="299"/>
      <c r="P7" s="299"/>
      <c r="Q7" s="299"/>
      <c r="R7" s="299"/>
      <c r="S7" s="299"/>
      <c r="T7" s="299"/>
      <c r="U7" s="299"/>
      <c r="V7" s="299"/>
      <c r="W7" s="299"/>
      <c r="X7" s="299"/>
    </row>
    <row r="8" spans="1:24" ht="13.5" thickTop="1">
      <c r="A8" s="300">
        <v>2034</v>
      </c>
      <c r="B8" s="301">
        <f>'TT &amp; OS'!F47</f>
        <v>1892816.5390872359</v>
      </c>
      <c r="C8" s="23">
        <f>'TT &amp; OS'!G47</f>
        <v>334026.44807419926</v>
      </c>
      <c r="D8" s="301">
        <f t="shared" ref="D8:D37" si="0">ROUND($B8*$D$82+$C8*$D$83,0)</f>
        <v>1484636220</v>
      </c>
      <c r="E8" s="23">
        <f t="shared" ref="E8:E37" si="1">ROUND(B8*$G$86+C8*$G$87,0)</f>
        <v>7859</v>
      </c>
      <c r="F8" s="301">
        <f t="shared" ref="F8:F37" si="2">ROUND($B8*$B$82+$C8*$B$83,0)</f>
        <v>4599433</v>
      </c>
      <c r="G8" s="23">
        <f t="shared" ref="G8:G37" si="3">ROUND($B8*$C$82+$C8*$C$83,0)</f>
        <v>86402</v>
      </c>
      <c r="H8" s="429">
        <f>ROUND(D8*I44,0)</f>
        <v>421637</v>
      </c>
      <c r="I8" s="432">
        <f>ROUND(E8*G44+F8*F44+G8*H44,0)</f>
        <v>201561</v>
      </c>
      <c r="J8" s="429">
        <f>SUM(H8:I8)</f>
        <v>623198</v>
      </c>
      <c r="K8" s="306">
        <f>H8*NPV!K14</f>
        <v>339107.0550141774</v>
      </c>
      <c r="L8" s="431">
        <f>I8*NPV!C14</f>
        <v>144065.89653359214</v>
      </c>
      <c r="M8" s="306">
        <f>K8+L8</f>
        <v>483172.95154776954</v>
      </c>
      <c r="N8" s="299"/>
      <c r="O8" s="299"/>
      <c r="P8" s="299"/>
      <c r="Q8" s="299"/>
      <c r="R8" s="299"/>
      <c r="S8" s="299"/>
      <c r="T8" s="299"/>
      <c r="U8" s="299"/>
      <c r="V8" s="299"/>
      <c r="W8" s="299"/>
      <c r="X8" s="299"/>
    </row>
    <row r="9" spans="1:24">
      <c r="A9" s="300">
        <f>A8+1</f>
        <v>2035</v>
      </c>
      <c r="B9" s="301">
        <f>'TT &amp; OS'!F48</f>
        <v>1921641.1564337611</v>
      </c>
      <c r="C9" s="23">
        <f>'TT &amp; OS'!G48</f>
        <v>339113.14525299519</v>
      </c>
      <c r="D9" s="301">
        <f t="shared" si="0"/>
        <v>1507244893</v>
      </c>
      <c r="E9" s="23">
        <f t="shared" si="1"/>
        <v>7979</v>
      </c>
      <c r="F9" s="301">
        <f t="shared" si="2"/>
        <v>4669475</v>
      </c>
      <c r="G9" s="23">
        <f t="shared" si="3"/>
        <v>87717</v>
      </c>
      <c r="H9" s="429">
        <f t="shared" ref="H9:H37" si="4">ROUND(D9*I45,0)</f>
        <v>434087</v>
      </c>
      <c r="I9" s="432">
        <f t="shared" ref="I9:I37" si="5">ROUND(E9*G45+F9*F45+G9*H45,0)</f>
        <v>204630</v>
      </c>
      <c r="J9" s="429">
        <f t="shared" ref="J9:J37" si="6">SUM(H9:I9)</f>
        <v>638717</v>
      </c>
      <c r="K9" s="306">
        <f>H9*NPV!K15</f>
        <v>342274.63710871449</v>
      </c>
      <c r="L9" s="431">
        <f>I9*NPV!C15</f>
        <v>141861.75256954081</v>
      </c>
      <c r="M9" s="306">
        <f t="shared" ref="M9:M36" si="7">K9+L9</f>
        <v>484136.38967825531</v>
      </c>
      <c r="N9" s="299"/>
      <c r="O9" s="299"/>
      <c r="P9" s="299"/>
      <c r="Q9" s="299"/>
      <c r="R9" s="299"/>
      <c r="S9" s="299"/>
      <c r="T9" s="299"/>
      <c r="U9" s="299"/>
      <c r="V9" s="299"/>
      <c r="W9" s="299"/>
      <c r="X9" s="299"/>
    </row>
    <row r="10" spans="1:24">
      <c r="A10" s="300">
        <f t="shared" ref="A10:A37" si="8">A9+1</f>
        <v>2036</v>
      </c>
      <c r="B10" s="301">
        <f>'TT &amp; OS'!F49</f>
        <v>1950904.7273438573</v>
      </c>
      <c r="C10" s="23">
        <f>'TT &amp; OS'!G49</f>
        <v>344277.30482537299</v>
      </c>
      <c r="D10" s="301">
        <f t="shared" si="0"/>
        <v>1530197861</v>
      </c>
      <c r="E10" s="23">
        <f t="shared" si="1"/>
        <v>8100</v>
      </c>
      <c r="F10" s="301">
        <f t="shared" si="2"/>
        <v>4740584</v>
      </c>
      <c r="G10" s="23">
        <f t="shared" si="3"/>
        <v>89053</v>
      </c>
      <c r="H10" s="429">
        <f t="shared" si="4"/>
        <v>446818</v>
      </c>
      <c r="I10" s="432">
        <f t="shared" si="5"/>
        <v>207746</v>
      </c>
      <c r="J10" s="429">
        <f t="shared" si="6"/>
        <v>654564</v>
      </c>
      <c r="K10" s="306">
        <f>H10*NPV!K16</f>
        <v>345404.84679122019</v>
      </c>
      <c r="L10" s="431">
        <f>I10*NPV!C16</f>
        <v>139691.51319273002</v>
      </c>
      <c r="M10" s="306">
        <f>K10+L10</f>
        <v>485096.35998395021</v>
      </c>
      <c r="N10" s="299"/>
      <c r="O10" s="299"/>
      <c r="P10" s="299"/>
      <c r="Q10" s="299"/>
      <c r="R10" s="299"/>
      <c r="S10" s="299"/>
      <c r="T10" s="299"/>
      <c r="U10" s="299"/>
      <c r="V10" s="299"/>
      <c r="W10" s="299"/>
      <c r="X10" s="299"/>
    </row>
    <row r="11" spans="1:24">
      <c r="A11" s="300">
        <f t="shared" si="8"/>
        <v>2037</v>
      </c>
      <c r="B11" s="301">
        <f>'TT &amp; OS'!F50</f>
        <v>1980613.9363897443</v>
      </c>
      <c r="C11" s="23">
        <f>'TT &amp; OS'!G50</f>
        <v>349520.10642169416</v>
      </c>
      <c r="D11" s="301">
        <f t="shared" si="0"/>
        <v>1553500366</v>
      </c>
      <c r="E11" s="23">
        <f t="shared" si="1"/>
        <v>8224</v>
      </c>
      <c r="F11" s="301">
        <f t="shared" si="2"/>
        <v>4812775</v>
      </c>
      <c r="G11" s="23">
        <f t="shared" si="3"/>
        <v>90409</v>
      </c>
      <c r="H11" s="429">
        <f t="shared" si="4"/>
        <v>461390</v>
      </c>
      <c r="I11" s="432">
        <f t="shared" si="5"/>
        <v>210910</v>
      </c>
      <c r="J11" s="429">
        <f>SUM(H11:I11)</f>
        <v>672300</v>
      </c>
      <c r="K11" s="306">
        <f>H11*NPV!K17</f>
        <v>349675.9575947909</v>
      </c>
      <c r="L11" s="431">
        <f>I11*NPV!C17</f>
        <v>137554.83418883395</v>
      </c>
      <c r="M11" s="306">
        <f t="shared" si="7"/>
        <v>487230.79178362485</v>
      </c>
      <c r="N11" s="299"/>
      <c r="O11" s="299"/>
      <c r="P11" s="299"/>
      <c r="Q11" s="299"/>
      <c r="R11" s="299"/>
      <c r="S11" s="299"/>
      <c r="T11" s="299"/>
      <c r="U11" s="299"/>
      <c r="V11" s="299"/>
      <c r="W11" s="299"/>
      <c r="X11" s="299"/>
    </row>
    <row r="12" spans="1:24">
      <c r="A12" s="300">
        <f t="shared" si="8"/>
        <v>2038</v>
      </c>
      <c r="B12" s="301">
        <f>'TT &amp; OS'!F51</f>
        <v>2010775.5699388385</v>
      </c>
      <c r="C12" s="23">
        <f>'TT &amp; OS'!G51</f>
        <v>354842.74763623625</v>
      </c>
      <c r="D12" s="301">
        <f t="shared" si="0"/>
        <v>1577157732</v>
      </c>
      <c r="E12" s="23">
        <f t="shared" si="1"/>
        <v>8349</v>
      </c>
      <c r="F12" s="301">
        <f t="shared" si="2"/>
        <v>4886066</v>
      </c>
      <c r="G12" s="23">
        <f t="shared" si="3"/>
        <v>91786</v>
      </c>
      <c r="H12" s="429">
        <f t="shared" si="4"/>
        <v>474724</v>
      </c>
      <c r="I12" s="432">
        <f t="shared" si="5"/>
        <v>214122</v>
      </c>
      <c r="J12" s="429">
        <f t="shared" si="6"/>
        <v>688846</v>
      </c>
      <c r="K12" s="306">
        <f>H12*NPV!K18</f>
        <v>352726.92467906984</v>
      </c>
      <c r="L12" s="431">
        <f>I12*NPV!C18</f>
        <v>135450.71815574617</v>
      </c>
      <c r="M12" s="306">
        <f t="shared" si="7"/>
        <v>488177.64283481601</v>
      </c>
      <c r="N12" s="299"/>
      <c r="O12" s="299"/>
      <c r="P12" s="299"/>
      <c r="Q12" s="299"/>
      <c r="R12" s="299"/>
      <c r="S12" s="299"/>
      <c r="T12" s="299"/>
      <c r="U12" s="299"/>
      <c r="V12" s="299"/>
      <c r="W12" s="299"/>
      <c r="X12" s="299"/>
    </row>
    <row r="13" spans="1:24">
      <c r="A13" s="300">
        <f t="shared" si="8"/>
        <v>2039</v>
      </c>
      <c r="B13" s="301">
        <f>'TT &amp; OS'!F52</f>
        <v>2041396.5177043676</v>
      </c>
      <c r="C13" s="23">
        <f>'TT &amp; OS'!G52</f>
        <v>360246.44430074841</v>
      </c>
      <c r="D13" s="301">
        <f t="shared" si="0"/>
        <v>1601175363</v>
      </c>
      <c r="E13" s="23">
        <f t="shared" si="1"/>
        <v>8476</v>
      </c>
      <c r="F13" s="301">
        <f t="shared" si="2"/>
        <v>4960473</v>
      </c>
      <c r="G13" s="23">
        <f t="shared" si="3"/>
        <v>93184</v>
      </c>
      <c r="H13" s="429">
        <f t="shared" si="4"/>
        <v>488358</v>
      </c>
      <c r="I13" s="432">
        <f t="shared" si="5"/>
        <v>217383</v>
      </c>
      <c r="J13" s="429">
        <f t="shared" si="6"/>
        <v>705741</v>
      </c>
      <c r="K13" s="306">
        <f>H13*NPV!K19</f>
        <v>355742.34069385612</v>
      </c>
      <c r="L13" s="431">
        <f>I13*NPV!C19</f>
        <v>133378.83919839424</v>
      </c>
      <c r="M13" s="306">
        <f>K13+L13</f>
        <v>489121.17989225034</v>
      </c>
      <c r="N13" s="299"/>
      <c r="O13" s="299"/>
      <c r="P13" s="299"/>
      <c r="Q13" s="299"/>
      <c r="R13" s="299"/>
      <c r="S13" s="299"/>
      <c r="T13" s="299"/>
      <c r="U13" s="299"/>
      <c r="V13" s="299"/>
      <c r="W13" s="299"/>
      <c r="X13" s="299"/>
    </row>
    <row r="14" spans="1:24">
      <c r="A14" s="300">
        <f t="shared" si="8"/>
        <v>2040</v>
      </c>
      <c r="B14" s="301">
        <f>'TT &amp; OS'!F53</f>
        <v>2072483.7743191719</v>
      </c>
      <c r="C14" s="23">
        <f>'TT &amp; OS'!G53</f>
        <v>365732.4307621792</v>
      </c>
      <c r="D14" s="301">
        <f t="shared" si="0"/>
        <v>1625558744</v>
      </c>
      <c r="E14" s="23">
        <f t="shared" si="1"/>
        <v>8605</v>
      </c>
      <c r="F14" s="301">
        <f t="shared" si="2"/>
        <v>5036014</v>
      </c>
      <c r="G14" s="23">
        <f t="shared" si="3"/>
        <v>94603</v>
      </c>
      <c r="H14" s="429">
        <f t="shared" si="4"/>
        <v>503923</v>
      </c>
      <c r="I14" s="432">
        <f t="shared" si="5"/>
        <v>220693</v>
      </c>
      <c r="J14" s="429">
        <f t="shared" si="6"/>
        <v>724616</v>
      </c>
      <c r="K14" s="306">
        <f>H14*NPV!K20</f>
        <v>359882.94096501777</v>
      </c>
      <c r="L14" s="431">
        <f>I14*NPV!C20</f>
        <v>131338.25701702581</v>
      </c>
      <c r="M14" s="306">
        <f t="shared" si="7"/>
        <v>491221.19798204361</v>
      </c>
      <c r="N14" s="299"/>
      <c r="O14" s="299"/>
      <c r="P14" s="299"/>
      <c r="Q14" s="299"/>
      <c r="R14" s="299"/>
      <c r="S14" s="299"/>
      <c r="T14" s="299"/>
      <c r="U14" s="299"/>
      <c r="V14" s="299"/>
      <c r="W14" s="299"/>
      <c r="X14" s="299"/>
    </row>
    <row r="15" spans="1:24">
      <c r="A15" s="300">
        <f t="shared" si="8"/>
        <v>2041</v>
      </c>
      <c r="B15" s="301">
        <f>'TT &amp; OS'!F54</f>
        <v>2104044.4409330487</v>
      </c>
      <c r="C15" s="23">
        <f>'TT &amp; OS'!G54</f>
        <v>371301.96016465127</v>
      </c>
      <c r="D15" s="301">
        <f t="shared" si="0"/>
        <v>1650313446</v>
      </c>
      <c r="E15" s="23">
        <f t="shared" si="1"/>
        <v>8736</v>
      </c>
      <c r="F15" s="301">
        <f t="shared" si="2"/>
        <v>5112704</v>
      </c>
      <c r="G15" s="23">
        <f t="shared" si="3"/>
        <v>96043</v>
      </c>
      <c r="H15" s="429">
        <f t="shared" si="4"/>
        <v>518198</v>
      </c>
      <c r="I15" s="432">
        <f t="shared" si="5"/>
        <v>224053</v>
      </c>
      <c r="J15" s="429">
        <f t="shared" si="6"/>
        <v>742251</v>
      </c>
      <c r="K15" s="306">
        <f>H15*NPV!K21</f>
        <v>362821.18778843607</v>
      </c>
      <c r="L15" s="431">
        <f>I15*NPV!C21</f>
        <v>129328.66311712273</v>
      </c>
      <c r="M15" s="306">
        <f t="shared" si="7"/>
        <v>492149.85090555879</v>
      </c>
      <c r="N15" s="299"/>
      <c r="O15" s="299"/>
      <c r="P15" s="299"/>
      <c r="Q15" s="299"/>
      <c r="R15" s="299"/>
      <c r="S15" s="299"/>
      <c r="T15" s="299"/>
      <c r="U15" s="299"/>
      <c r="V15" s="299"/>
      <c r="W15" s="299"/>
      <c r="X15" s="299"/>
    </row>
    <row r="16" spans="1:24">
      <c r="A16" s="300">
        <f t="shared" si="8"/>
        <v>2042</v>
      </c>
      <c r="B16" s="301">
        <f>'TT &amp; OS'!F55</f>
        <v>2136085.7268355489</v>
      </c>
      <c r="C16" s="23">
        <f>'TT &amp; OS'!G55</f>
        <v>376956.30473569036</v>
      </c>
      <c r="D16" s="301">
        <f t="shared" si="0"/>
        <v>1675445122</v>
      </c>
      <c r="E16" s="23">
        <f t="shared" si="1"/>
        <v>8869</v>
      </c>
      <c r="F16" s="301">
        <f t="shared" si="2"/>
        <v>5190563</v>
      </c>
      <c r="G16" s="23">
        <f t="shared" si="3"/>
        <v>97506</v>
      </c>
      <c r="H16" s="429">
        <f t="shared" si="4"/>
        <v>534467</v>
      </c>
      <c r="I16" s="432">
        <f t="shared" si="5"/>
        <v>227465</v>
      </c>
      <c r="J16" s="429">
        <f t="shared" si="6"/>
        <v>761932</v>
      </c>
      <c r="K16" s="306">
        <f>H16*NPV!K22</f>
        <v>366874.58888210962</v>
      </c>
      <c r="L16" s="431">
        <f>I16*NPV!C22</f>
        <v>127350.29078043686</v>
      </c>
      <c r="M16" s="306">
        <f t="shared" si="7"/>
        <v>494224.87966254645</v>
      </c>
      <c r="N16" s="299"/>
      <c r="O16" s="299"/>
      <c r="P16" s="299"/>
      <c r="Q16" s="299"/>
      <c r="R16" s="299"/>
      <c r="S16" s="299"/>
      <c r="T16" s="299"/>
      <c r="U16" s="299"/>
      <c r="V16" s="299"/>
      <c r="W16" s="299"/>
      <c r="X16" s="299"/>
    </row>
    <row r="17" spans="1:24">
      <c r="A17" s="300">
        <f t="shared" si="8"/>
        <v>2043</v>
      </c>
      <c r="B17" s="301">
        <f>'TT &amp; OS'!F56</f>
        <v>2168614.951102078</v>
      </c>
      <c r="C17" s="23">
        <f>'TT &amp; OS'!G56</f>
        <v>382696.75607684255</v>
      </c>
      <c r="D17" s="301">
        <f t="shared" si="0"/>
        <v>1700959515</v>
      </c>
      <c r="E17" s="23">
        <f t="shared" si="1"/>
        <v>9004</v>
      </c>
      <c r="F17" s="301">
        <f t="shared" si="2"/>
        <v>5269607</v>
      </c>
      <c r="G17" s="23">
        <f t="shared" si="3"/>
        <v>98991</v>
      </c>
      <c r="H17" s="429">
        <f t="shared" si="4"/>
        <v>551111</v>
      </c>
      <c r="I17" s="432">
        <f t="shared" si="5"/>
        <v>230930</v>
      </c>
      <c r="J17" s="429">
        <f t="shared" si="6"/>
        <v>782041</v>
      </c>
      <c r="K17" s="306">
        <f>H17*NPV!K23</f>
        <v>370881.90436051483</v>
      </c>
      <c r="L17" s="431">
        <f>I17*NPV!C23</f>
        <v>125402.74696731265</v>
      </c>
      <c r="M17" s="306">
        <f t="shared" si="7"/>
        <v>496284.65132782748</v>
      </c>
      <c r="N17" s="299"/>
      <c r="O17" s="299"/>
      <c r="P17" s="299"/>
      <c r="Q17" s="299"/>
      <c r="R17" s="299"/>
      <c r="S17" s="299"/>
      <c r="T17" s="299"/>
      <c r="U17" s="299"/>
      <c r="V17" s="299"/>
      <c r="W17" s="299"/>
      <c r="X17" s="299"/>
    </row>
    <row r="18" spans="1:24">
      <c r="A18" s="300">
        <f t="shared" si="8"/>
        <v>2044</v>
      </c>
      <c r="B18" s="301">
        <f>'TT &amp; OS'!F57</f>
        <v>2201639.5442661047</v>
      </c>
      <c r="C18" s="23">
        <f>'TT &amp; OS'!G57</f>
        <v>388524.6254587248</v>
      </c>
      <c r="D18" s="301">
        <f t="shared" si="0"/>
        <v>1726862452</v>
      </c>
      <c r="E18" s="23">
        <f t="shared" si="1"/>
        <v>9141</v>
      </c>
      <c r="F18" s="301">
        <f t="shared" si="2"/>
        <v>5349855</v>
      </c>
      <c r="G18" s="23">
        <f t="shared" si="3"/>
        <v>100498</v>
      </c>
      <c r="H18" s="429">
        <f t="shared" si="4"/>
        <v>566411</v>
      </c>
      <c r="I18" s="432">
        <f t="shared" si="5"/>
        <v>234446</v>
      </c>
      <c r="J18" s="429">
        <f t="shared" si="6"/>
        <v>800857</v>
      </c>
      <c r="K18" s="306">
        <f>H18*NPV!K24</f>
        <v>373704.28015398834</v>
      </c>
      <c r="L18" s="431">
        <f>I18*NPV!C24</f>
        <v>123484.04759475101</v>
      </c>
      <c r="M18" s="306">
        <f t="shared" si="7"/>
        <v>497188.32774873934</v>
      </c>
      <c r="N18" s="299"/>
      <c r="O18" s="299"/>
      <c r="P18" s="299"/>
      <c r="Q18" s="299"/>
      <c r="R18" s="299"/>
      <c r="S18" s="299"/>
      <c r="T18" s="299"/>
      <c r="U18" s="299"/>
      <c r="V18" s="299"/>
      <c r="W18" s="299"/>
      <c r="X18" s="299"/>
    </row>
    <row r="19" spans="1:24">
      <c r="A19" s="300">
        <f t="shared" si="8"/>
        <v>2045</v>
      </c>
      <c r="B19" s="301">
        <f>'TT &amp; OS'!F58</f>
        <v>2235167.0500164032</v>
      </c>
      <c r="C19" s="23">
        <f>'TT &amp; OS'!G58</f>
        <v>394441.24412053078</v>
      </c>
      <c r="D19" s="301">
        <f t="shared" si="0"/>
        <v>1753159850</v>
      </c>
      <c r="E19" s="23">
        <f t="shared" si="1"/>
        <v>9280</v>
      </c>
      <c r="F19" s="301">
        <f t="shared" si="2"/>
        <v>5431324</v>
      </c>
      <c r="G19" s="23">
        <f t="shared" si="3"/>
        <v>102029</v>
      </c>
      <c r="H19" s="429">
        <f t="shared" si="4"/>
        <v>583802</v>
      </c>
      <c r="I19" s="432">
        <f t="shared" si="5"/>
        <v>238017</v>
      </c>
      <c r="J19" s="429">
        <f t="shared" si="6"/>
        <v>821819</v>
      </c>
      <c r="K19" s="306">
        <f>H19*NPV!K25</f>
        <v>377625.92292498105</v>
      </c>
      <c r="L19" s="431">
        <f>I19*NPV!C25</f>
        <v>121595.4546032458</v>
      </c>
      <c r="M19" s="306">
        <f t="shared" si="7"/>
        <v>499221.37752822682</v>
      </c>
      <c r="N19" s="299"/>
      <c r="O19" s="299"/>
      <c r="P19" s="299"/>
      <c r="Q19" s="299"/>
      <c r="R19" s="299"/>
      <c r="S19" s="299"/>
      <c r="T19" s="299"/>
      <c r="U19" s="299"/>
      <c r="V19" s="299"/>
      <c r="W19" s="299"/>
      <c r="X19" s="299"/>
    </row>
    <row r="20" spans="1:24">
      <c r="A20" s="300">
        <f t="shared" si="8"/>
        <v>2046</v>
      </c>
      <c r="B20" s="301">
        <f>'TT &amp; OS'!F59</f>
        <v>2269205.1269201636</v>
      </c>
      <c r="C20" s="23">
        <f>'TT &amp; OS'!G59</f>
        <v>400447.96357414871</v>
      </c>
      <c r="D20" s="301">
        <f t="shared" si="0"/>
        <v>1779857715</v>
      </c>
      <c r="E20" s="23">
        <f t="shared" si="1"/>
        <v>9422</v>
      </c>
      <c r="F20" s="301">
        <f t="shared" si="2"/>
        <v>5514035</v>
      </c>
      <c r="G20" s="23">
        <f t="shared" si="3"/>
        <v>103583</v>
      </c>
      <c r="H20" s="429">
        <f t="shared" si="4"/>
        <v>601592</v>
      </c>
      <c r="I20" s="432">
        <f t="shared" si="5"/>
        <v>241642</v>
      </c>
      <c r="J20" s="429">
        <f t="shared" si="6"/>
        <v>843234</v>
      </c>
      <c r="K20" s="306">
        <f>H20*NPV!K26</f>
        <v>381503.12683954771</v>
      </c>
      <c r="L20" s="431">
        <f>I20*NPV!C26</f>
        <v>119735.5518270613</v>
      </c>
      <c r="M20" s="306">
        <f>K20+L20</f>
        <v>501238.67866660899</v>
      </c>
      <c r="N20" s="299"/>
      <c r="O20" s="299"/>
      <c r="P20" s="299"/>
      <c r="Q20" s="299"/>
      <c r="R20" s="299"/>
      <c r="S20" s="299"/>
      <c r="T20" s="299"/>
      <c r="U20" s="299"/>
      <c r="V20" s="299"/>
      <c r="W20" s="299"/>
      <c r="X20" s="299"/>
    </row>
    <row r="21" spans="1:24">
      <c r="A21" s="300">
        <f t="shared" si="8"/>
        <v>2047</v>
      </c>
      <c r="B21" s="301">
        <f>'TT &amp; OS'!F60</f>
        <v>2303761.5501727462</v>
      </c>
      <c r="C21" s="23">
        <f>'TT &amp; OS'!G60</f>
        <v>406546.15591284633</v>
      </c>
      <c r="D21" s="301">
        <f t="shared" si="0"/>
        <v>1806962148</v>
      </c>
      <c r="E21" s="23">
        <f t="shared" si="1"/>
        <v>9565</v>
      </c>
      <c r="F21" s="301">
        <f t="shared" si="2"/>
        <v>5598005</v>
      </c>
      <c r="G21" s="23">
        <f t="shared" si="3"/>
        <v>105160</v>
      </c>
      <c r="H21" s="429">
        <f t="shared" si="4"/>
        <v>621595</v>
      </c>
      <c r="I21" s="432">
        <f t="shared" si="5"/>
        <v>245321</v>
      </c>
      <c r="J21" s="429">
        <f t="shared" si="6"/>
        <v>866916</v>
      </c>
      <c r="K21" s="306">
        <f>H21*NPV!K27</f>
        <v>386458.96829534625</v>
      </c>
      <c r="L21" s="431">
        <f>I21*NPV!C27</f>
        <v>117903.51685369326</v>
      </c>
      <c r="M21" s="306">
        <f t="shared" si="7"/>
        <v>504362.48514903954</v>
      </c>
      <c r="N21" s="299"/>
      <c r="O21" s="299"/>
      <c r="P21" s="299"/>
      <c r="Q21" s="299"/>
      <c r="R21" s="299"/>
      <c r="S21" s="299"/>
      <c r="T21" s="299"/>
      <c r="U21" s="299"/>
      <c r="V21" s="299"/>
      <c r="W21" s="299"/>
      <c r="X21" s="299"/>
    </row>
    <row r="22" spans="1:24">
      <c r="A22" s="300">
        <f t="shared" si="8"/>
        <v>2048</v>
      </c>
      <c r="B22" s="301">
        <f>'TT &amp; OS'!F61</f>
        <v>2338844.2133733034</v>
      </c>
      <c r="C22" s="23">
        <f>'TT &amp; OS'!G61</f>
        <v>412737.21412471682</v>
      </c>
      <c r="D22" s="301">
        <f t="shared" si="0"/>
        <v>1834479338</v>
      </c>
      <c r="E22" s="23">
        <f t="shared" si="1"/>
        <v>9711</v>
      </c>
      <c r="F22" s="301">
        <f t="shared" si="2"/>
        <v>5683254</v>
      </c>
      <c r="G22" s="23">
        <f t="shared" si="3"/>
        <v>106761</v>
      </c>
      <c r="H22" s="429">
        <f t="shared" si="4"/>
        <v>638399</v>
      </c>
      <c r="I22" s="432">
        <f t="shared" si="5"/>
        <v>249056</v>
      </c>
      <c r="J22" s="429">
        <f t="shared" si="6"/>
        <v>887455</v>
      </c>
      <c r="K22" s="306">
        <f>H22*NPV!K28</f>
        <v>389123.89821438299</v>
      </c>
      <c r="L22" s="431">
        <f>I22*NPV!C28</f>
        <v>116099.50729616285</v>
      </c>
      <c r="M22" s="306">
        <f t="shared" si="7"/>
        <v>505223.40551054582</v>
      </c>
      <c r="N22" s="299"/>
      <c r="O22" s="299"/>
      <c r="P22" s="299"/>
      <c r="Q22" s="299"/>
      <c r="R22" s="299"/>
      <c r="S22" s="299"/>
      <c r="T22" s="299"/>
      <c r="U22" s="299"/>
      <c r="V22" s="299"/>
      <c r="W22" s="299"/>
      <c r="X22" s="299"/>
    </row>
    <row r="23" spans="1:24">
      <c r="A23" s="300">
        <f t="shared" si="8"/>
        <v>2049</v>
      </c>
      <c r="B23" s="301">
        <f>'TT &amp; OS'!F62</f>
        <v>2374461.130328238</v>
      </c>
      <c r="C23" s="23">
        <f>'TT &amp; OS'!G62</f>
        <v>419022.55241088569</v>
      </c>
      <c r="D23" s="301">
        <f t="shared" si="0"/>
        <v>1862415571</v>
      </c>
      <c r="E23" s="23">
        <f t="shared" si="1"/>
        <v>9859</v>
      </c>
      <c r="F23" s="301">
        <f t="shared" si="2"/>
        <v>5769801</v>
      </c>
      <c r="G23" s="23">
        <f t="shared" si="3"/>
        <v>108387</v>
      </c>
      <c r="H23" s="429">
        <f t="shared" si="4"/>
        <v>657433</v>
      </c>
      <c r="I23" s="432">
        <f t="shared" si="5"/>
        <v>252849</v>
      </c>
      <c r="J23" s="429">
        <f t="shared" si="6"/>
        <v>910282</v>
      </c>
      <c r="K23" s="306">
        <f>H23*NPV!K29</f>
        <v>392868.34196472378</v>
      </c>
      <c r="L23" s="431">
        <f>I23*NPV!C29</f>
        <v>114323.61349249133</v>
      </c>
      <c r="M23" s="306">
        <f t="shared" si="7"/>
        <v>507191.95545721508</v>
      </c>
      <c r="N23" s="299"/>
      <c r="O23" s="299"/>
      <c r="P23" s="299"/>
      <c r="Q23" s="299"/>
      <c r="R23" s="299"/>
      <c r="S23" s="299"/>
      <c r="T23" s="299"/>
      <c r="U23" s="299"/>
      <c r="V23" s="299"/>
      <c r="W23" s="299"/>
      <c r="X23" s="299"/>
    </row>
    <row r="24" spans="1:24">
      <c r="A24" s="300">
        <f t="shared" si="8"/>
        <v>2050</v>
      </c>
      <c r="B24" s="301">
        <f>'TT &amp; OS'!F63</f>
        <v>2410620.4368814826</v>
      </c>
      <c r="C24" s="23">
        <f>'TT &amp; OS'!G63</f>
        <v>425403.60650850832</v>
      </c>
      <c r="D24" s="301">
        <f t="shared" si="0"/>
        <v>1890777230</v>
      </c>
      <c r="E24" s="23">
        <f t="shared" si="1"/>
        <v>10009</v>
      </c>
      <c r="F24" s="301">
        <f t="shared" si="2"/>
        <v>5857666</v>
      </c>
      <c r="G24" s="23">
        <f t="shared" si="3"/>
        <v>110038</v>
      </c>
      <c r="H24" s="429">
        <f t="shared" si="4"/>
        <v>675007</v>
      </c>
      <c r="I24" s="432">
        <f t="shared" si="5"/>
        <v>256700</v>
      </c>
      <c r="J24" s="429">
        <f t="shared" si="6"/>
        <v>931707</v>
      </c>
      <c r="K24" s="306">
        <f>H24*NPV!K30</f>
        <v>395460.980702309</v>
      </c>
      <c r="L24" s="431">
        <f>I24*NPV!C30</f>
        <v>112574.98713822181</v>
      </c>
      <c r="M24" s="306">
        <f t="shared" si="7"/>
        <v>508035.96784053079</v>
      </c>
      <c r="N24" s="299"/>
      <c r="O24" s="299"/>
      <c r="P24" s="299"/>
      <c r="Q24" s="299"/>
      <c r="R24" s="299"/>
      <c r="S24" s="299"/>
      <c r="T24" s="299"/>
      <c r="U24" s="299"/>
      <c r="V24" s="299"/>
      <c r="W24" s="299"/>
      <c r="X24" s="299"/>
    </row>
    <row r="25" spans="1:24">
      <c r="A25" s="300">
        <f t="shared" si="8"/>
        <v>2051</v>
      </c>
      <c r="B25" s="301">
        <f>'TT &amp; OS'!F64</f>
        <v>2446779.7434347272</v>
      </c>
      <c r="C25" s="23">
        <f>'TT &amp; OS'!G64</f>
        <v>431784.66060614586</v>
      </c>
      <c r="D25" s="301">
        <f t="shared" si="0"/>
        <v>1919138888</v>
      </c>
      <c r="E25" s="23">
        <f t="shared" si="1"/>
        <v>10159</v>
      </c>
      <c r="F25" s="301">
        <f t="shared" si="2"/>
        <v>5945531</v>
      </c>
      <c r="G25" s="23">
        <f t="shared" si="3"/>
        <v>111688</v>
      </c>
      <c r="H25" s="429">
        <f t="shared" si="4"/>
        <v>694728</v>
      </c>
      <c r="I25" s="432">
        <f t="shared" si="5"/>
        <v>260550</v>
      </c>
      <c r="J25" s="429">
        <f t="shared" si="6"/>
        <v>955278</v>
      </c>
      <c r="K25" s="306">
        <f>H25*NPV!K31</f>
        <v>399034.08438342944</v>
      </c>
      <c r="L25" s="431">
        <f>I25*NPV!C31</f>
        <v>110827.7329503872</v>
      </c>
      <c r="M25" s="306">
        <f t="shared" si="7"/>
        <v>509861.81733381667</v>
      </c>
      <c r="N25" s="299"/>
      <c r="O25" s="299"/>
      <c r="P25" s="299"/>
      <c r="Q25" s="299"/>
      <c r="R25" s="299"/>
      <c r="S25" s="299"/>
      <c r="T25" s="299"/>
      <c r="U25" s="299"/>
      <c r="V25" s="299"/>
      <c r="W25" s="299"/>
      <c r="X25" s="299"/>
    </row>
    <row r="26" spans="1:24">
      <c r="A26" s="300">
        <f t="shared" si="8"/>
        <v>2052</v>
      </c>
      <c r="B26" s="301">
        <f>'TT &amp; OS'!F65</f>
        <v>2483481.4395861626</v>
      </c>
      <c r="C26" s="23">
        <f>'TT &amp; OS'!G65</f>
        <v>438261.4305152297</v>
      </c>
      <c r="D26" s="301">
        <f t="shared" si="0"/>
        <v>1947925971</v>
      </c>
      <c r="E26" s="23">
        <f t="shared" si="1"/>
        <v>10311</v>
      </c>
      <c r="F26" s="301">
        <f t="shared" si="2"/>
        <v>6034714</v>
      </c>
      <c r="G26" s="23">
        <f t="shared" si="3"/>
        <v>113364</v>
      </c>
      <c r="H26" s="429">
        <f t="shared" si="4"/>
        <v>712941</v>
      </c>
      <c r="I26" s="432">
        <f t="shared" si="5"/>
        <v>264459</v>
      </c>
      <c r="J26" s="429">
        <f t="shared" si="6"/>
        <v>977400</v>
      </c>
      <c r="K26" s="306">
        <f>H26*NPV!K32</f>
        <v>401465.85109343205</v>
      </c>
      <c r="L26" s="431">
        <f>I26*NPV!C32</f>
        <v>109108.11635807507</v>
      </c>
      <c r="M26" s="306">
        <f t="shared" si="7"/>
        <v>510573.96745150711</v>
      </c>
      <c r="N26" s="299"/>
      <c r="O26" s="299"/>
      <c r="P26" s="299"/>
      <c r="Q26" s="299"/>
      <c r="R26" s="299"/>
      <c r="S26" s="299"/>
      <c r="T26" s="299"/>
      <c r="U26" s="299"/>
      <c r="V26" s="299"/>
      <c r="W26" s="299"/>
      <c r="X26" s="299"/>
    </row>
    <row r="27" spans="1:24">
      <c r="A27" s="300">
        <f t="shared" si="8"/>
        <v>2053</v>
      </c>
      <c r="B27" s="301">
        <f>'TT &amp; OS'!F66</f>
        <v>2520733.6611799598</v>
      </c>
      <c r="C27" s="23">
        <f>'TT &amp; OS'!G66</f>
        <v>444835.35197296739</v>
      </c>
      <c r="D27" s="301">
        <f t="shared" si="0"/>
        <v>1977144861</v>
      </c>
      <c r="E27" s="23">
        <f t="shared" si="1"/>
        <v>10466</v>
      </c>
      <c r="F27" s="301">
        <f t="shared" si="2"/>
        <v>6125235</v>
      </c>
      <c r="G27" s="23">
        <f t="shared" si="3"/>
        <v>115064</v>
      </c>
      <c r="H27" s="429">
        <f t="shared" si="4"/>
        <v>731544</v>
      </c>
      <c r="I27" s="432">
        <f t="shared" si="5"/>
        <v>268425</v>
      </c>
      <c r="J27" s="429">
        <f t="shared" si="6"/>
        <v>999969</v>
      </c>
      <c r="K27" s="306">
        <f>H27*NPV!K33</f>
        <v>403864.14640792069</v>
      </c>
      <c r="L27" s="431">
        <f>I27*NPV!C33</f>
        <v>107414.52277216646</v>
      </c>
      <c r="M27" s="306">
        <f t="shared" si="7"/>
        <v>511278.66918008716</v>
      </c>
      <c r="N27" s="299"/>
      <c r="O27" s="299"/>
      <c r="P27" s="299"/>
      <c r="Q27" s="299"/>
      <c r="R27" s="299"/>
      <c r="S27" s="299"/>
      <c r="T27" s="299"/>
      <c r="U27" s="299"/>
      <c r="V27" s="299"/>
      <c r="W27" s="299"/>
      <c r="X27" s="299"/>
    </row>
    <row r="28" spans="1:24">
      <c r="A28" s="300">
        <f t="shared" si="8"/>
        <v>2054</v>
      </c>
      <c r="B28" s="301">
        <f>'TT &amp; OS'!F67</f>
        <v>2558544.6660977602</v>
      </c>
      <c r="C28" s="23">
        <f>'TT &amp; OS'!G67</f>
        <v>451507.88225255907</v>
      </c>
      <c r="D28" s="301">
        <f t="shared" si="0"/>
        <v>2006802034</v>
      </c>
      <c r="E28" s="23">
        <f t="shared" si="1"/>
        <v>10623</v>
      </c>
      <c r="F28" s="301">
        <f t="shared" si="2"/>
        <v>6217113</v>
      </c>
      <c r="G28" s="23">
        <f t="shared" si="3"/>
        <v>116790</v>
      </c>
      <c r="H28" s="429">
        <f t="shared" si="4"/>
        <v>752551</v>
      </c>
      <c r="I28" s="432">
        <f t="shared" si="5"/>
        <v>272452</v>
      </c>
      <c r="J28" s="429">
        <f t="shared" si="6"/>
        <v>1025003</v>
      </c>
      <c r="K28" s="306">
        <f>H28*NPV!K34</f>
        <v>407315.19565953128</v>
      </c>
      <c r="L28" s="431">
        <f>I28*NPV!C34</f>
        <v>105747.80864928775</v>
      </c>
      <c r="M28" s="306">
        <f t="shared" si="7"/>
        <v>513063.00430881901</v>
      </c>
      <c r="N28" s="299"/>
      <c r="O28" s="299"/>
      <c r="P28" s="299"/>
      <c r="Q28" s="299"/>
      <c r="R28" s="299"/>
      <c r="S28" s="299"/>
      <c r="T28" s="299"/>
      <c r="U28" s="299"/>
      <c r="V28" s="299"/>
      <c r="W28" s="299"/>
      <c r="X28" s="299"/>
    </row>
    <row r="29" spans="1:24">
      <c r="A29" s="300">
        <f t="shared" si="8"/>
        <v>2055</v>
      </c>
      <c r="B29" s="301">
        <f>'TT &amp; OS'!F68</f>
        <v>2596922.8360892534</v>
      </c>
      <c r="C29" s="23">
        <f>'TT &amp; OS'!G68</f>
        <v>458280.5004863441</v>
      </c>
      <c r="D29" s="301">
        <f t="shared" si="0"/>
        <v>2036904064</v>
      </c>
      <c r="E29" s="23">
        <f t="shared" si="1"/>
        <v>10782</v>
      </c>
      <c r="F29" s="301">
        <f t="shared" si="2"/>
        <v>6310370</v>
      </c>
      <c r="G29" s="23">
        <f t="shared" si="3"/>
        <v>118542</v>
      </c>
      <c r="H29" s="429">
        <f t="shared" si="4"/>
        <v>763839</v>
      </c>
      <c r="I29" s="432">
        <f t="shared" si="5"/>
        <v>276539</v>
      </c>
      <c r="J29" s="429">
        <f t="shared" si="6"/>
        <v>1040378</v>
      </c>
      <c r="K29" s="306">
        <f>H29*NPV!K35</f>
        <v>405318.41192572762</v>
      </c>
      <c r="L29" s="431">
        <f>I29*NPV!C35</f>
        <v>104106.80035736735</v>
      </c>
      <c r="M29" s="306">
        <f t="shared" si="7"/>
        <v>509425.212283095</v>
      </c>
      <c r="N29" s="299"/>
      <c r="O29" s="299"/>
      <c r="P29" s="299"/>
      <c r="Q29" s="299"/>
      <c r="R29" s="299"/>
      <c r="S29" s="299"/>
      <c r="T29" s="299"/>
      <c r="U29" s="299"/>
      <c r="V29" s="299"/>
      <c r="W29" s="299"/>
      <c r="X29" s="299"/>
    </row>
    <row r="30" spans="1:24">
      <c r="A30" s="300">
        <f t="shared" si="8"/>
        <v>2056</v>
      </c>
      <c r="B30" s="301">
        <f>'TT &amp; OS'!F69</f>
        <v>2635876.6786305904</v>
      </c>
      <c r="C30" s="23">
        <f>'TT &amp; OS'!G69</f>
        <v>465154.70799362659</v>
      </c>
      <c r="D30" s="301">
        <f t="shared" si="0"/>
        <v>2067457625</v>
      </c>
      <c r="E30" s="23">
        <f t="shared" si="1"/>
        <v>10944</v>
      </c>
      <c r="F30" s="301">
        <f t="shared" si="2"/>
        <v>6405025</v>
      </c>
      <c r="G30" s="23">
        <f t="shared" si="3"/>
        <v>120320</v>
      </c>
      <c r="H30" s="429">
        <f t="shared" si="4"/>
        <v>775297</v>
      </c>
      <c r="I30" s="432">
        <f t="shared" si="5"/>
        <v>280687</v>
      </c>
      <c r="J30" s="429">
        <f t="shared" si="6"/>
        <v>1055984</v>
      </c>
      <c r="K30" s="306">
        <f>H30*NPV!K36</f>
        <v>403331.77286022983</v>
      </c>
      <c r="L30" s="431">
        <f>I30*NPV!C36</f>
        <v>102491.14487230119</v>
      </c>
      <c r="M30" s="306">
        <f>K30+L30</f>
        <v>505822.91773253103</v>
      </c>
      <c r="N30" s="299"/>
      <c r="O30" s="299"/>
      <c r="P30" s="299"/>
      <c r="Q30" s="299"/>
      <c r="R30" s="299"/>
      <c r="S30" s="299"/>
      <c r="T30" s="299"/>
      <c r="U30" s="299"/>
      <c r="V30" s="299"/>
      <c r="W30" s="299"/>
      <c r="X30" s="299"/>
    </row>
    <row r="31" spans="1:24">
      <c r="A31" s="300">
        <f t="shared" si="8"/>
        <v>2057</v>
      </c>
      <c r="B31" s="301">
        <f>'TT &amp; OS'!F70</f>
        <v>2675414.8288100958</v>
      </c>
      <c r="C31" s="23">
        <f>'TT &amp; OS'!G70</f>
        <v>472132.02861353755</v>
      </c>
      <c r="D31" s="301">
        <f t="shared" si="0"/>
        <v>2098469490</v>
      </c>
      <c r="E31" s="23">
        <f t="shared" si="1"/>
        <v>11108</v>
      </c>
      <c r="F31" s="301">
        <f t="shared" si="2"/>
        <v>6501101</v>
      </c>
      <c r="G31" s="23">
        <f t="shared" si="3"/>
        <v>122125</v>
      </c>
      <c r="H31" s="429">
        <f t="shared" si="4"/>
        <v>786926</v>
      </c>
      <c r="I31" s="432">
        <f t="shared" si="5"/>
        <v>284897</v>
      </c>
      <c r="J31" s="429">
        <f t="shared" si="6"/>
        <v>1071823</v>
      </c>
      <c r="K31" s="306">
        <f>H31*NPV!K37</f>
        <v>401354.42426378594</v>
      </c>
      <c r="L31" s="431">
        <f>I31*NPV!C37</f>
        <v>100900.4856222088</v>
      </c>
      <c r="M31" s="306">
        <f t="shared" si="7"/>
        <v>502254.90988599474</v>
      </c>
      <c r="N31" s="299"/>
      <c r="O31" s="299"/>
      <c r="P31" s="299"/>
      <c r="Q31" s="299"/>
      <c r="R31" s="299"/>
      <c r="S31" s="299"/>
      <c r="T31" s="299"/>
      <c r="U31" s="299"/>
      <c r="V31" s="299"/>
      <c r="W31" s="299"/>
      <c r="X31" s="299"/>
    </row>
    <row r="32" spans="1:24">
      <c r="A32" s="300">
        <f t="shared" si="8"/>
        <v>2058</v>
      </c>
      <c r="B32" s="301">
        <f>'TT &amp; OS'!F71</f>
        <v>2715546.0512422323</v>
      </c>
      <c r="C32" s="23">
        <f>'TT &amp; OS'!G71</f>
        <v>479214.00904273987</v>
      </c>
      <c r="D32" s="301">
        <f t="shared" si="0"/>
        <v>2129946532</v>
      </c>
      <c r="E32" s="23">
        <f t="shared" si="1"/>
        <v>11275</v>
      </c>
      <c r="F32" s="301">
        <f t="shared" si="2"/>
        <v>6598617</v>
      </c>
      <c r="G32" s="23">
        <f t="shared" si="3"/>
        <v>123957</v>
      </c>
      <c r="H32" s="429">
        <f t="shared" si="4"/>
        <v>798730</v>
      </c>
      <c r="I32" s="432">
        <f t="shared" si="5"/>
        <v>289171</v>
      </c>
      <c r="J32" s="429">
        <f t="shared" si="6"/>
        <v>1087901</v>
      </c>
      <c r="K32" s="306">
        <f>H32*NPV!K38</f>
        <v>399387.05561847158</v>
      </c>
      <c r="L32" s="431">
        <f>I32*NPV!C38</f>
        <v>99334.806912077038</v>
      </c>
      <c r="M32" s="306">
        <f t="shared" si="7"/>
        <v>498721.86253054859</v>
      </c>
      <c r="N32" s="299"/>
      <c r="O32" s="299"/>
      <c r="P32" s="299"/>
      <c r="Q32" s="299"/>
      <c r="R32" s="299"/>
      <c r="S32" s="299"/>
      <c r="T32" s="299"/>
      <c r="U32" s="299"/>
      <c r="V32" s="299"/>
      <c r="W32" s="299"/>
      <c r="X32" s="299"/>
    </row>
    <row r="33" spans="1:24" ht="14.1" customHeight="1">
      <c r="A33" s="300">
        <f t="shared" si="8"/>
        <v>2059</v>
      </c>
      <c r="B33" s="301">
        <f>'TT &amp; OS'!F72</f>
        <v>2756279.2420108914</v>
      </c>
      <c r="C33" s="23">
        <f>'TT &amp; OS'!G72</f>
        <v>486402.21917837858</v>
      </c>
      <c r="D33" s="301">
        <f t="shared" si="0"/>
        <v>2161895730</v>
      </c>
      <c r="E33" s="23">
        <f t="shared" si="1"/>
        <v>11444</v>
      </c>
      <c r="F33" s="301">
        <f t="shared" si="2"/>
        <v>6697596</v>
      </c>
      <c r="G33" s="23">
        <f t="shared" si="3"/>
        <v>125816</v>
      </c>
      <c r="H33" s="429">
        <f t="shared" si="4"/>
        <v>810711</v>
      </c>
      <c r="I33" s="432">
        <f t="shared" si="5"/>
        <v>293508</v>
      </c>
      <c r="J33" s="429">
        <f t="shared" si="6"/>
        <v>1104219</v>
      </c>
      <c r="K33" s="306">
        <f>H33*NPV!K39</f>
        <v>397429.30044522486</v>
      </c>
      <c r="L33" s="431">
        <f>I33*NPV!C39</f>
        <v>97793.050367926437</v>
      </c>
      <c r="M33" s="306">
        <f t="shared" si="7"/>
        <v>495222.35081315128</v>
      </c>
      <c r="N33" s="299"/>
      <c r="O33" s="299"/>
      <c r="P33" s="299"/>
      <c r="Q33" s="299"/>
      <c r="R33" s="299"/>
      <c r="S33" s="299"/>
      <c r="T33" s="299"/>
      <c r="U33" s="299"/>
      <c r="V33" s="299"/>
      <c r="W33" s="299"/>
      <c r="X33" s="299"/>
    </row>
    <row r="34" spans="1:24" ht="14.1" customHeight="1">
      <c r="A34" s="300">
        <f t="shared" si="8"/>
        <v>2060</v>
      </c>
      <c r="B34" s="301">
        <f>'TT &amp; OS'!F73</f>
        <v>2797623.4306409955</v>
      </c>
      <c r="C34" s="23">
        <f>'TT &amp; OS'!G73</f>
        <v>493698.25246605277</v>
      </c>
      <c r="D34" s="301">
        <f t="shared" si="0"/>
        <v>2194324166</v>
      </c>
      <c r="E34" s="23">
        <f t="shared" si="1"/>
        <v>11616</v>
      </c>
      <c r="F34" s="301">
        <f t="shared" si="2"/>
        <v>6798060</v>
      </c>
      <c r="G34" s="23">
        <f t="shared" si="3"/>
        <v>127703</v>
      </c>
      <c r="H34" s="429">
        <f t="shared" si="4"/>
        <v>822872</v>
      </c>
      <c r="I34" s="432">
        <f t="shared" si="5"/>
        <v>297910</v>
      </c>
      <c r="J34" s="429">
        <f t="shared" si="6"/>
        <v>1120782</v>
      </c>
      <c r="K34" s="306">
        <f>H34*NPV!K40</f>
        <v>395481.27860456717</v>
      </c>
      <c r="L34" s="431">
        <f>I34*NPV!C40</f>
        <v>96275.208096512652</v>
      </c>
      <c r="M34" s="306">
        <f t="shared" si="7"/>
        <v>491756.48670107982</v>
      </c>
      <c r="N34" s="299"/>
      <c r="O34" s="299"/>
      <c r="P34" s="299"/>
      <c r="Q34" s="299"/>
      <c r="R34" s="299"/>
      <c r="S34" s="299"/>
      <c r="T34" s="299"/>
      <c r="U34" s="299"/>
      <c r="V34" s="299"/>
      <c r="W34" s="299"/>
      <c r="X34" s="299"/>
    </row>
    <row r="35" spans="1:24">
      <c r="A35" s="300">
        <f t="shared" si="8"/>
        <v>2061</v>
      </c>
      <c r="B35" s="301">
        <f>'TT &amp; OS'!F74</f>
        <v>2839587.7821006179</v>
      </c>
      <c r="C35" s="23">
        <f>'TT &amp; OS'!G74</f>
        <v>501103.72625304759</v>
      </c>
      <c r="D35" s="301">
        <f t="shared" si="0"/>
        <v>2227239029</v>
      </c>
      <c r="E35" s="23">
        <f t="shared" si="1"/>
        <v>11790</v>
      </c>
      <c r="F35" s="301">
        <f t="shared" si="2"/>
        <v>6900031</v>
      </c>
      <c r="G35" s="23">
        <f t="shared" si="3"/>
        <v>129619</v>
      </c>
      <c r="H35" s="429">
        <f t="shared" si="4"/>
        <v>835215</v>
      </c>
      <c r="I35" s="432">
        <f t="shared" si="5"/>
        <v>302380</v>
      </c>
      <c r="J35" s="429">
        <f t="shared" si="6"/>
        <v>1137595</v>
      </c>
      <c r="K35" s="306">
        <f>H35*NPV!K41</f>
        <v>393542.60719094222</v>
      </c>
      <c r="L35" s="431">
        <f>I35*NPV!C41</f>
        <v>94781.544612802187</v>
      </c>
      <c r="M35" s="306">
        <f>K35+L35</f>
        <v>488324.15180374437</v>
      </c>
      <c r="N35" s="299"/>
      <c r="O35" s="299"/>
      <c r="P35" s="299"/>
      <c r="Q35" s="299"/>
      <c r="R35" s="299"/>
      <c r="S35" s="299"/>
      <c r="T35" s="299"/>
      <c r="U35" s="299"/>
      <c r="V35" s="299"/>
      <c r="W35" s="299"/>
      <c r="X35" s="299"/>
    </row>
    <row r="36" spans="1:24">
      <c r="A36" s="300">
        <f t="shared" si="8"/>
        <v>2062</v>
      </c>
      <c r="B36" s="301">
        <f>'TT &amp; OS'!F75</f>
        <v>2882181.5988321304</v>
      </c>
      <c r="C36" s="23">
        <f>'TT &amp; OS'!G75</f>
        <v>508620.28214684129</v>
      </c>
      <c r="D36" s="301">
        <f t="shared" si="0"/>
        <v>2260647614</v>
      </c>
      <c r="E36" s="23">
        <f t="shared" si="1"/>
        <v>11967</v>
      </c>
      <c r="F36" s="301">
        <f t="shared" si="2"/>
        <v>7003532</v>
      </c>
      <c r="G36" s="23">
        <f t="shared" si="3"/>
        <v>131563</v>
      </c>
      <c r="H36" s="429">
        <f t="shared" si="4"/>
        <v>847743</v>
      </c>
      <c r="I36" s="432">
        <f t="shared" si="5"/>
        <v>306915</v>
      </c>
      <c r="J36" s="429">
        <f t="shared" si="6"/>
        <v>1154658</v>
      </c>
      <c r="K36" s="306">
        <f>H36*NPV!K42</f>
        <v>391613.37282518554</v>
      </c>
      <c r="L36" s="431">
        <f>I36*NPV!C42</f>
        <v>93310.425185023225</v>
      </c>
      <c r="M36" s="306">
        <f t="shared" si="7"/>
        <v>484923.79801020876</v>
      </c>
      <c r="N36" s="299"/>
      <c r="O36" s="299"/>
      <c r="P36" s="299"/>
      <c r="Q36" s="299"/>
      <c r="R36" s="299"/>
      <c r="S36" s="299"/>
      <c r="T36" s="299"/>
      <c r="U36" s="299"/>
      <c r="V36" s="299"/>
      <c r="W36" s="299"/>
      <c r="X36" s="299"/>
    </row>
    <row r="37" spans="1:24">
      <c r="A37" s="300">
        <f t="shared" si="8"/>
        <v>2063</v>
      </c>
      <c r="B37" s="301">
        <f>'TT &amp; OS'!F76</f>
        <v>2925414.3228145838</v>
      </c>
      <c r="C37" s="23">
        <f>'TT &amp; OS'!G76</f>
        <v>516249.58637903631</v>
      </c>
      <c r="D37" s="301">
        <f t="shared" si="0"/>
        <v>2294557328</v>
      </c>
      <c r="E37" s="23">
        <f t="shared" si="1"/>
        <v>12146</v>
      </c>
      <c r="F37" s="301">
        <f t="shared" si="2"/>
        <v>7108585</v>
      </c>
      <c r="G37" s="23">
        <f t="shared" si="3"/>
        <v>133537</v>
      </c>
      <c r="H37" s="429">
        <f t="shared" si="4"/>
        <v>860459</v>
      </c>
      <c r="I37" s="432">
        <f t="shared" si="5"/>
        <v>311519</v>
      </c>
      <c r="J37" s="429">
        <f t="shared" si="6"/>
        <v>1171978</v>
      </c>
      <c r="K37" s="306">
        <f>H37*NPV!K43</f>
        <v>389693.63375987334</v>
      </c>
      <c r="L37" s="431">
        <f>I37*NPV!C43</f>
        <v>91862.429845009014</v>
      </c>
      <c r="M37" s="306">
        <f>K37+L37</f>
        <v>481556.06360488234</v>
      </c>
      <c r="N37" s="299"/>
      <c r="O37" s="299"/>
      <c r="P37" s="299"/>
      <c r="Q37" s="299"/>
      <c r="R37" s="299"/>
      <c r="S37" s="299"/>
      <c r="T37" s="299"/>
      <c r="U37" s="299"/>
      <c r="V37" s="299"/>
      <c r="W37" s="299"/>
      <c r="X37" s="299"/>
    </row>
    <row r="38" spans="1:24" ht="16.7" customHeight="1">
      <c r="A38" s="779" t="s">
        <v>51</v>
      </c>
      <c r="B38" s="780"/>
      <c r="C38" s="780"/>
      <c r="D38" s="780"/>
      <c r="E38" s="780"/>
      <c r="F38" s="780"/>
      <c r="G38" s="781"/>
      <c r="H38" s="430">
        <f>SUM(H8:H37)</f>
        <v>19372508</v>
      </c>
      <c r="I38" s="415">
        <f>SUM(I8:I37)</f>
        <v>7586936</v>
      </c>
      <c r="J38" s="430">
        <f>SUM(J8:J37)</f>
        <v>26959444</v>
      </c>
      <c r="K38" s="415">
        <f t="shared" ref="K38:L38" si="9">SUM(K8:K37)</f>
        <v>11430969.038011506</v>
      </c>
      <c r="L38" s="430">
        <f t="shared" si="9"/>
        <v>3485094.2671275069</v>
      </c>
      <c r="M38" s="415">
        <f>SUM(M8:M37)</f>
        <v>14916063.305139018</v>
      </c>
      <c r="N38" s="299"/>
      <c r="O38" s="299"/>
      <c r="P38" s="299"/>
      <c r="Q38" s="299"/>
      <c r="R38" s="299"/>
      <c r="S38" s="299"/>
      <c r="T38" s="299"/>
      <c r="U38" s="299"/>
      <c r="V38" s="299"/>
      <c r="W38" s="299"/>
      <c r="X38" s="299"/>
    </row>
    <row r="39" spans="1:24">
      <c r="A39" s="299"/>
      <c r="B39" s="299"/>
      <c r="C39" s="299"/>
      <c r="D39" s="299"/>
      <c r="E39" s="299"/>
      <c r="F39" s="299"/>
      <c r="G39" s="299"/>
      <c r="H39" s="299"/>
      <c r="I39" s="299"/>
      <c r="J39" s="299"/>
      <c r="K39" s="299"/>
      <c r="L39" s="299"/>
      <c r="M39" s="299"/>
      <c r="N39" s="299"/>
      <c r="O39" s="299"/>
      <c r="P39" s="299"/>
      <c r="Q39" s="299"/>
      <c r="R39" s="299"/>
      <c r="S39" s="299"/>
    </row>
    <row r="40" spans="1:24" ht="13.5" thickBot="1">
      <c r="A40" s="397"/>
      <c r="B40" s="397"/>
      <c r="C40" s="397"/>
      <c r="D40" s="299"/>
      <c r="E40" s="299"/>
      <c r="F40" s="299"/>
      <c r="G40" s="299"/>
      <c r="H40" s="299"/>
      <c r="I40" s="299"/>
      <c r="J40" s="299"/>
      <c r="K40" s="299"/>
      <c r="L40" s="299"/>
      <c r="M40" s="299"/>
      <c r="N40" s="299"/>
      <c r="O40" s="299"/>
      <c r="P40" s="299"/>
      <c r="Q40" s="299"/>
      <c r="R40" s="299"/>
      <c r="S40" s="299"/>
    </row>
    <row r="41" spans="1:24" ht="13.5" thickBot="1">
      <c r="A41" s="788" t="s">
        <v>350</v>
      </c>
      <c r="B41" s="789"/>
      <c r="C41" s="789"/>
      <c r="D41" s="789"/>
      <c r="E41" s="789"/>
      <c r="F41" s="789"/>
      <c r="G41" s="789"/>
      <c r="H41" s="789"/>
      <c r="I41" s="790"/>
      <c r="J41" s="407" t="s">
        <v>351</v>
      </c>
      <c r="K41" s="408"/>
      <c r="L41" s="299"/>
      <c r="M41" s="299"/>
      <c r="N41" s="299"/>
      <c r="O41" s="299"/>
      <c r="P41" s="299"/>
      <c r="Q41" s="299"/>
      <c r="R41" s="299"/>
      <c r="S41" s="299"/>
      <c r="T41" s="299"/>
    </row>
    <row r="42" spans="1:24">
      <c r="A42" s="782" t="s">
        <v>352</v>
      </c>
      <c r="B42" s="783"/>
      <c r="C42" s="783"/>
      <c r="D42" s="783"/>
      <c r="E42" s="784"/>
      <c r="F42" s="782" t="s">
        <v>353</v>
      </c>
      <c r="G42" s="783"/>
      <c r="H42" s="783"/>
      <c r="I42" s="784"/>
      <c r="J42" s="463">
        <v>1000000</v>
      </c>
      <c r="K42" s="398" t="s">
        <v>354</v>
      </c>
      <c r="L42" s="464">
        <f>1000000</f>
        <v>1000000</v>
      </c>
      <c r="M42" s="299"/>
      <c r="N42" s="299"/>
      <c r="O42" s="299"/>
      <c r="P42" s="299"/>
      <c r="Q42" s="299"/>
      <c r="R42" s="299"/>
      <c r="S42" s="299"/>
      <c r="T42" s="299"/>
    </row>
    <row r="43" spans="1:24" ht="15.75">
      <c r="A43" s="400" t="s">
        <v>355</v>
      </c>
      <c r="B43" s="567" t="s">
        <v>356</v>
      </c>
      <c r="C43" s="567" t="s">
        <v>357</v>
      </c>
      <c r="D43" s="567" t="s">
        <v>358</v>
      </c>
      <c r="E43" s="401" t="s">
        <v>359</v>
      </c>
      <c r="F43" s="400" t="s">
        <v>356</v>
      </c>
      <c r="G43" s="567" t="s">
        <v>357</v>
      </c>
      <c r="H43" s="567" t="s">
        <v>358</v>
      </c>
      <c r="I43" s="401" t="s">
        <v>359</v>
      </c>
      <c r="J43" s="299"/>
      <c r="K43" s="299"/>
      <c r="L43" s="299"/>
      <c r="M43" s="299"/>
      <c r="N43" s="299"/>
      <c r="O43" s="299"/>
      <c r="P43" s="299"/>
      <c r="Q43" s="299"/>
      <c r="R43" s="299"/>
      <c r="S43" s="299"/>
    </row>
    <row r="44" spans="1:24">
      <c r="A44" s="487">
        <v>2034</v>
      </c>
      <c r="B44" s="458">
        <v>22900</v>
      </c>
      <c r="C44" s="458">
        <v>63700</v>
      </c>
      <c r="D44" s="459">
        <v>1108000</v>
      </c>
      <c r="E44" s="460">
        <v>284</v>
      </c>
      <c r="F44" s="404">
        <f t="shared" ref="F44:F73" si="10">B44/$L$42</f>
        <v>2.29E-2</v>
      </c>
      <c r="G44" s="399">
        <f t="shared" ref="G44:G73" si="11">C44/$L$42</f>
        <v>6.3700000000000007E-2</v>
      </c>
      <c r="H44" s="399">
        <f t="shared" ref="H44:H73" si="12">D44/$L$42</f>
        <v>1.1080000000000001</v>
      </c>
      <c r="I44" s="402">
        <f t="shared" ref="I44:I73" si="13">E44/$L$42</f>
        <v>2.8400000000000002E-4</v>
      </c>
      <c r="J44" s="299"/>
      <c r="K44" s="414"/>
      <c r="L44" s="299"/>
      <c r="M44" s="299"/>
      <c r="N44" s="299"/>
      <c r="O44" s="299"/>
      <c r="P44" s="299"/>
      <c r="Q44" s="299"/>
      <c r="R44" s="299"/>
    </row>
    <row r="45" spans="1:24">
      <c r="A45" s="487">
        <f>A44+1</f>
        <v>2035</v>
      </c>
      <c r="B45" s="458">
        <v>22900</v>
      </c>
      <c r="C45" s="458">
        <v>63700</v>
      </c>
      <c r="D45" s="459">
        <v>1108000</v>
      </c>
      <c r="E45" s="460">
        <v>288</v>
      </c>
      <c r="F45" s="404">
        <f>B45/$L$42</f>
        <v>2.29E-2</v>
      </c>
      <c r="G45" s="399">
        <f t="shared" si="11"/>
        <v>6.3700000000000007E-2</v>
      </c>
      <c r="H45" s="399">
        <f t="shared" si="12"/>
        <v>1.1080000000000001</v>
      </c>
      <c r="I45" s="402">
        <f t="shared" si="13"/>
        <v>2.8800000000000001E-4</v>
      </c>
      <c r="J45" s="299"/>
      <c r="K45" s="414"/>
      <c r="L45" s="299"/>
      <c r="M45" s="299"/>
      <c r="N45" s="299"/>
      <c r="O45" s="299"/>
      <c r="P45" s="299"/>
      <c r="Q45" s="299"/>
      <c r="R45" s="299"/>
    </row>
    <row r="46" spans="1:24">
      <c r="A46" s="487">
        <f t="shared" ref="A46:A73" si="14">A45+1</f>
        <v>2036</v>
      </c>
      <c r="B46" s="458">
        <v>22900</v>
      </c>
      <c r="C46" s="458">
        <v>63700</v>
      </c>
      <c r="D46" s="459">
        <v>1108000</v>
      </c>
      <c r="E46" s="460">
        <v>292</v>
      </c>
      <c r="F46" s="404">
        <f t="shared" si="10"/>
        <v>2.29E-2</v>
      </c>
      <c r="G46" s="399">
        <f>C46/$L$42</f>
        <v>6.3700000000000007E-2</v>
      </c>
      <c r="H46" s="399">
        <f t="shared" si="12"/>
        <v>1.1080000000000001</v>
      </c>
      <c r="I46" s="402">
        <f t="shared" si="13"/>
        <v>2.92E-4</v>
      </c>
      <c r="J46" s="299"/>
      <c r="K46" s="414"/>
      <c r="L46" s="299"/>
      <c r="M46" s="299"/>
      <c r="N46" s="299"/>
      <c r="O46" s="299"/>
      <c r="P46" s="299"/>
      <c r="Q46" s="299"/>
      <c r="R46" s="299"/>
    </row>
    <row r="47" spans="1:24">
      <c r="A47" s="487">
        <f t="shared" si="14"/>
        <v>2037</v>
      </c>
      <c r="B47" s="458">
        <v>22900</v>
      </c>
      <c r="C47" s="458">
        <v>63700</v>
      </c>
      <c r="D47" s="459">
        <v>1108000</v>
      </c>
      <c r="E47" s="460">
        <v>297</v>
      </c>
      <c r="F47" s="404">
        <f t="shared" si="10"/>
        <v>2.29E-2</v>
      </c>
      <c r="G47" s="399">
        <f t="shared" si="11"/>
        <v>6.3700000000000007E-2</v>
      </c>
      <c r="H47" s="399">
        <f>D47/$L$42</f>
        <v>1.1080000000000001</v>
      </c>
      <c r="I47" s="402">
        <f t="shared" si="13"/>
        <v>2.9700000000000001E-4</v>
      </c>
      <c r="J47" s="299"/>
      <c r="K47" s="414"/>
      <c r="L47" s="299"/>
      <c r="M47" s="299"/>
      <c r="N47" s="299"/>
      <c r="O47" s="299"/>
      <c r="P47" s="299"/>
      <c r="Q47" s="299"/>
      <c r="R47" s="299"/>
    </row>
    <row r="48" spans="1:24">
      <c r="A48" s="487">
        <f t="shared" si="14"/>
        <v>2038</v>
      </c>
      <c r="B48" s="458">
        <v>22900</v>
      </c>
      <c r="C48" s="458">
        <v>63700</v>
      </c>
      <c r="D48" s="459">
        <v>1108000</v>
      </c>
      <c r="E48" s="460">
        <v>301</v>
      </c>
      <c r="F48" s="404">
        <f t="shared" si="10"/>
        <v>2.29E-2</v>
      </c>
      <c r="G48" s="399">
        <f t="shared" si="11"/>
        <v>6.3700000000000007E-2</v>
      </c>
      <c r="H48" s="399">
        <f t="shared" si="12"/>
        <v>1.1080000000000001</v>
      </c>
      <c r="I48" s="402">
        <f>E48/$L$42</f>
        <v>3.01E-4</v>
      </c>
      <c r="J48" s="299"/>
      <c r="K48" s="414"/>
      <c r="L48" s="299"/>
      <c r="M48" s="299"/>
      <c r="N48" s="299"/>
      <c r="O48" s="299"/>
      <c r="P48" s="299"/>
      <c r="Q48" s="299"/>
      <c r="R48" s="299"/>
    </row>
    <row r="49" spans="1:19">
      <c r="A49" s="487">
        <f t="shared" si="14"/>
        <v>2039</v>
      </c>
      <c r="B49" s="458">
        <v>22900</v>
      </c>
      <c r="C49" s="458">
        <v>63700</v>
      </c>
      <c r="D49" s="459">
        <v>1108000</v>
      </c>
      <c r="E49" s="460">
        <v>305</v>
      </c>
      <c r="F49" s="404">
        <f t="shared" si="10"/>
        <v>2.29E-2</v>
      </c>
      <c r="G49" s="399">
        <f t="shared" si="11"/>
        <v>6.3700000000000007E-2</v>
      </c>
      <c r="H49" s="399">
        <f t="shared" si="12"/>
        <v>1.1080000000000001</v>
      </c>
      <c r="I49" s="402">
        <f t="shared" si="13"/>
        <v>3.0499999999999999E-4</v>
      </c>
      <c r="J49" s="299"/>
      <c r="K49" s="414"/>
      <c r="L49" s="299"/>
      <c r="M49" s="299"/>
      <c r="N49" s="299"/>
      <c r="O49" s="299"/>
      <c r="P49" s="299"/>
      <c r="Q49" s="299"/>
      <c r="R49" s="299"/>
    </row>
    <row r="50" spans="1:19">
      <c r="A50" s="487">
        <f t="shared" si="14"/>
        <v>2040</v>
      </c>
      <c r="B50" s="458">
        <v>22900</v>
      </c>
      <c r="C50" s="458">
        <v>63700</v>
      </c>
      <c r="D50" s="459">
        <v>1108000</v>
      </c>
      <c r="E50" s="460">
        <v>310</v>
      </c>
      <c r="F50" s="404">
        <f t="shared" si="10"/>
        <v>2.29E-2</v>
      </c>
      <c r="G50" s="399">
        <f t="shared" si="11"/>
        <v>6.3700000000000007E-2</v>
      </c>
      <c r="H50" s="399">
        <f t="shared" si="12"/>
        <v>1.1080000000000001</v>
      </c>
      <c r="I50" s="402">
        <f t="shared" si="13"/>
        <v>3.1E-4</v>
      </c>
      <c r="J50" s="299"/>
      <c r="K50" s="414"/>
      <c r="L50" s="299"/>
      <c r="M50" s="299"/>
      <c r="N50" s="299"/>
      <c r="O50" s="299"/>
      <c r="P50" s="299"/>
      <c r="Q50" s="299"/>
      <c r="R50" s="299"/>
    </row>
    <row r="51" spans="1:19">
      <c r="A51" s="487">
        <f t="shared" si="14"/>
        <v>2041</v>
      </c>
      <c r="B51" s="458">
        <v>22900</v>
      </c>
      <c r="C51" s="458">
        <v>63700</v>
      </c>
      <c r="D51" s="459">
        <v>1108000</v>
      </c>
      <c r="E51" s="460">
        <v>314</v>
      </c>
      <c r="F51" s="404">
        <f t="shared" si="10"/>
        <v>2.29E-2</v>
      </c>
      <c r="G51" s="399">
        <f t="shared" si="11"/>
        <v>6.3700000000000007E-2</v>
      </c>
      <c r="H51" s="399">
        <f t="shared" si="12"/>
        <v>1.1080000000000001</v>
      </c>
      <c r="I51" s="402">
        <f t="shared" si="13"/>
        <v>3.1399999999999999E-4</v>
      </c>
      <c r="J51" s="299"/>
      <c r="K51" s="414"/>
      <c r="L51" s="299"/>
      <c r="M51" s="299"/>
      <c r="N51" s="299"/>
      <c r="O51" s="299"/>
      <c r="P51" s="299"/>
      <c r="Q51" s="299"/>
      <c r="R51" s="299"/>
    </row>
    <row r="52" spans="1:19">
      <c r="A52" s="487">
        <f t="shared" si="14"/>
        <v>2042</v>
      </c>
      <c r="B52" s="458">
        <v>22900</v>
      </c>
      <c r="C52" s="458">
        <v>63700</v>
      </c>
      <c r="D52" s="459">
        <v>1108000</v>
      </c>
      <c r="E52" s="460">
        <v>319</v>
      </c>
      <c r="F52" s="404">
        <f t="shared" si="10"/>
        <v>2.29E-2</v>
      </c>
      <c r="G52" s="399">
        <f t="shared" si="11"/>
        <v>6.3700000000000007E-2</v>
      </c>
      <c r="H52" s="399">
        <f t="shared" si="12"/>
        <v>1.1080000000000001</v>
      </c>
      <c r="I52" s="402">
        <f t="shared" si="13"/>
        <v>3.19E-4</v>
      </c>
      <c r="J52" s="299"/>
      <c r="K52" s="299"/>
      <c r="L52" s="414"/>
      <c r="M52" s="299"/>
      <c r="N52" s="299"/>
      <c r="O52" s="299"/>
      <c r="P52" s="299"/>
      <c r="Q52" s="299"/>
      <c r="R52" s="299"/>
      <c r="S52" s="299"/>
    </row>
    <row r="53" spans="1:19">
      <c r="A53" s="487">
        <f t="shared" si="14"/>
        <v>2043</v>
      </c>
      <c r="B53" s="458">
        <v>22900</v>
      </c>
      <c r="C53" s="458">
        <v>63700</v>
      </c>
      <c r="D53" s="459">
        <v>1108000</v>
      </c>
      <c r="E53" s="460">
        <v>324</v>
      </c>
      <c r="F53" s="404">
        <f t="shared" si="10"/>
        <v>2.29E-2</v>
      </c>
      <c r="G53" s="399">
        <f t="shared" si="11"/>
        <v>6.3700000000000007E-2</v>
      </c>
      <c r="H53" s="399">
        <f t="shared" si="12"/>
        <v>1.1080000000000001</v>
      </c>
      <c r="I53" s="402">
        <f t="shared" si="13"/>
        <v>3.2400000000000001E-4</v>
      </c>
      <c r="J53" s="299"/>
      <c r="K53" s="299"/>
      <c r="L53" s="299"/>
      <c r="M53" s="299"/>
      <c r="N53" s="299"/>
      <c r="O53" s="299"/>
      <c r="P53" s="299"/>
      <c r="Q53" s="299"/>
      <c r="R53" s="299"/>
      <c r="S53" s="299"/>
    </row>
    <row r="54" spans="1:19">
      <c r="A54" s="487">
        <f t="shared" si="14"/>
        <v>2044</v>
      </c>
      <c r="B54" s="458">
        <v>22900</v>
      </c>
      <c r="C54" s="458">
        <v>63700</v>
      </c>
      <c r="D54" s="459">
        <v>1108000</v>
      </c>
      <c r="E54" s="460">
        <v>328</v>
      </c>
      <c r="F54" s="404">
        <f t="shared" si="10"/>
        <v>2.29E-2</v>
      </c>
      <c r="G54" s="399">
        <f t="shared" si="11"/>
        <v>6.3700000000000007E-2</v>
      </c>
      <c r="H54" s="399">
        <f t="shared" si="12"/>
        <v>1.1080000000000001</v>
      </c>
      <c r="I54" s="402">
        <f t="shared" si="13"/>
        <v>3.28E-4</v>
      </c>
      <c r="J54" s="299"/>
      <c r="K54" s="299"/>
      <c r="L54" s="299"/>
      <c r="M54" s="299"/>
      <c r="N54" s="299"/>
      <c r="O54" s="299"/>
      <c r="P54" s="299"/>
      <c r="Q54" s="299"/>
      <c r="R54" s="299"/>
      <c r="S54" s="299"/>
    </row>
    <row r="55" spans="1:19">
      <c r="A55" s="487">
        <f t="shared" si="14"/>
        <v>2045</v>
      </c>
      <c r="B55" s="458">
        <v>22900</v>
      </c>
      <c r="C55" s="458">
        <v>63700</v>
      </c>
      <c r="D55" s="459">
        <v>1108000</v>
      </c>
      <c r="E55" s="460">
        <v>333</v>
      </c>
      <c r="F55" s="404">
        <f t="shared" si="10"/>
        <v>2.29E-2</v>
      </c>
      <c r="G55" s="399">
        <f t="shared" si="11"/>
        <v>6.3700000000000007E-2</v>
      </c>
      <c r="H55" s="399">
        <f t="shared" si="12"/>
        <v>1.1080000000000001</v>
      </c>
      <c r="I55" s="402">
        <f t="shared" si="13"/>
        <v>3.3300000000000002E-4</v>
      </c>
      <c r="J55" s="299"/>
      <c r="K55" s="299"/>
      <c r="L55" s="299"/>
      <c r="M55" s="299"/>
      <c r="N55" s="299"/>
      <c r="O55" s="299"/>
      <c r="P55" s="299"/>
      <c r="Q55" s="299"/>
      <c r="R55" s="299"/>
      <c r="S55" s="299"/>
    </row>
    <row r="56" spans="1:19">
      <c r="A56" s="487">
        <f t="shared" si="14"/>
        <v>2046</v>
      </c>
      <c r="B56" s="458">
        <v>22900</v>
      </c>
      <c r="C56" s="458">
        <v>63700</v>
      </c>
      <c r="D56" s="459">
        <v>1108000</v>
      </c>
      <c r="E56" s="460">
        <v>338</v>
      </c>
      <c r="F56" s="404">
        <f t="shared" si="10"/>
        <v>2.29E-2</v>
      </c>
      <c r="G56" s="399">
        <f t="shared" si="11"/>
        <v>6.3700000000000007E-2</v>
      </c>
      <c r="H56" s="399">
        <f t="shared" si="12"/>
        <v>1.1080000000000001</v>
      </c>
      <c r="I56" s="402">
        <f t="shared" si="13"/>
        <v>3.3799999999999998E-4</v>
      </c>
      <c r="J56" s="299"/>
      <c r="K56" s="299"/>
      <c r="L56" s="299"/>
      <c r="M56" s="299"/>
      <c r="N56" s="299"/>
      <c r="O56" s="299"/>
      <c r="P56" s="299"/>
      <c r="Q56" s="299"/>
      <c r="R56" s="299"/>
      <c r="S56" s="299"/>
    </row>
    <row r="57" spans="1:19">
      <c r="A57" s="487">
        <f t="shared" si="14"/>
        <v>2047</v>
      </c>
      <c r="B57" s="458">
        <v>22900</v>
      </c>
      <c r="C57" s="458">
        <v>63700</v>
      </c>
      <c r="D57" s="459">
        <v>1108000</v>
      </c>
      <c r="E57" s="460">
        <v>344</v>
      </c>
      <c r="F57" s="404">
        <f t="shared" si="10"/>
        <v>2.29E-2</v>
      </c>
      <c r="G57" s="399">
        <f t="shared" si="11"/>
        <v>6.3700000000000007E-2</v>
      </c>
      <c r="H57" s="399">
        <f t="shared" si="12"/>
        <v>1.1080000000000001</v>
      </c>
      <c r="I57" s="402">
        <f t="shared" si="13"/>
        <v>3.4400000000000001E-4</v>
      </c>
      <c r="J57" s="299"/>
      <c r="K57" s="299"/>
      <c r="L57" s="299"/>
      <c r="M57" s="299"/>
      <c r="N57" s="299"/>
      <c r="O57" s="299"/>
      <c r="P57" s="299"/>
      <c r="Q57" s="299"/>
      <c r="R57" s="299"/>
      <c r="S57" s="299"/>
    </row>
    <row r="58" spans="1:19">
      <c r="A58" s="487">
        <f t="shared" si="14"/>
        <v>2048</v>
      </c>
      <c r="B58" s="458">
        <v>22900</v>
      </c>
      <c r="C58" s="458">
        <v>63700</v>
      </c>
      <c r="D58" s="459">
        <v>1108000</v>
      </c>
      <c r="E58" s="460">
        <v>348</v>
      </c>
      <c r="F58" s="404">
        <f t="shared" si="10"/>
        <v>2.29E-2</v>
      </c>
      <c r="G58" s="399">
        <f t="shared" si="11"/>
        <v>6.3700000000000007E-2</v>
      </c>
      <c r="H58" s="399">
        <f t="shared" si="12"/>
        <v>1.1080000000000001</v>
      </c>
      <c r="I58" s="402">
        <f t="shared" si="13"/>
        <v>3.48E-4</v>
      </c>
      <c r="J58" s="299"/>
      <c r="K58" s="299"/>
      <c r="L58" s="299"/>
      <c r="M58" s="299"/>
      <c r="N58" s="299"/>
      <c r="O58" s="299"/>
      <c r="P58" s="299"/>
      <c r="Q58" s="299"/>
      <c r="R58" s="299"/>
      <c r="S58" s="299"/>
    </row>
    <row r="59" spans="1:19">
      <c r="A59" s="487">
        <f t="shared" si="14"/>
        <v>2049</v>
      </c>
      <c r="B59" s="458">
        <v>22900</v>
      </c>
      <c r="C59" s="458">
        <v>63700</v>
      </c>
      <c r="D59" s="459">
        <v>1108000</v>
      </c>
      <c r="E59" s="460">
        <v>353</v>
      </c>
      <c r="F59" s="404">
        <f t="shared" si="10"/>
        <v>2.29E-2</v>
      </c>
      <c r="G59" s="399">
        <f t="shared" si="11"/>
        <v>6.3700000000000007E-2</v>
      </c>
      <c r="H59" s="399">
        <f t="shared" si="12"/>
        <v>1.1080000000000001</v>
      </c>
      <c r="I59" s="402">
        <f t="shared" si="13"/>
        <v>3.5300000000000002E-4</v>
      </c>
      <c r="J59" s="299"/>
      <c r="K59" s="299"/>
      <c r="L59" s="299"/>
      <c r="M59" s="299"/>
      <c r="N59" s="299"/>
      <c r="O59" s="299"/>
      <c r="P59" s="299"/>
      <c r="Q59" s="299"/>
      <c r="R59" s="299"/>
      <c r="S59" s="299"/>
    </row>
    <row r="60" spans="1:19">
      <c r="A60" s="487">
        <f t="shared" si="14"/>
        <v>2050</v>
      </c>
      <c r="B60" s="458">
        <v>22900</v>
      </c>
      <c r="C60" s="458">
        <v>63700</v>
      </c>
      <c r="D60" s="459">
        <v>1108000</v>
      </c>
      <c r="E60" s="460">
        <v>357</v>
      </c>
      <c r="F60" s="404">
        <f t="shared" si="10"/>
        <v>2.29E-2</v>
      </c>
      <c r="G60" s="399">
        <f t="shared" si="11"/>
        <v>6.3700000000000007E-2</v>
      </c>
      <c r="H60" s="399">
        <f t="shared" si="12"/>
        <v>1.1080000000000001</v>
      </c>
      <c r="I60" s="402">
        <f t="shared" si="13"/>
        <v>3.57E-4</v>
      </c>
      <c r="J60" s="299"/>
      <c r="K60" s="299"/>
      <c r="L60" s="299"/>
      <c r="M60" s="299"/>
      <c r="N60" s="299"/>
      <c r="O60" s="299"/>
      <c r="P60" s="299"/>
      <c r="Q60" s="299"/>
      <c r="R60" s="299"/>
      <c r="S60" s="299"/>
    </row>
    <row r="61" spans="1:19">
      <c r="A61" s="487">
        <f t="shared" si="14"/>
        <v>2051</v>
      </c>
      <c r="B61" s="458">
        <v>22900</v>
      </c>
      <c r="C61" s="458">
        <v>63700</v>
      </c>
      <c r="D61" s="459">
        <v>1108000</v>
      </c>
      <c r="E61" s="460">
        <v>362</v>
      </c>
      <c r="F61" s="404">
        <f t="shared" si="10"/>
        <v>2.29E-2</v>
      </c>
      <c r="G61" s="399">
        <f t="shared" si="11"/>
        <v>6.3700000000000007E-2</v>
      </c>
      <c r="H61" s="399">
        <f t="shared" si="12"/>
        <v>1.1080000000000001</v>
      </c>
      <c r="I61" s="402">
        <f t="shared" si="13"/>
        <v>3.6200000000000002E-4</v>
      </c>
      <c r="J61" s="299"/>
      <c r="K61" s="299"/>
      <c r="L61" s="299"/>
      <c r="M61" s="299"/>
      <c r="N61" s="299"/>
      <c r="O61" s="299"/>
      <c r="P61" s="299"/>
      <c r="Q61" s="299"/>
      <c r="R61" s="299"/>
      <c r="S61" s="299"/>
    </row>
    <row r="62" spans="1:19">
      <c r="A62" s="487">
        <f t="shared" si="14"/>
        <v>2052</v>
      </c>
      <c r="B62" s="458">
        <v>22900</v>
      </c>
      <c r="C62" s="458">
        <v>63700</v>
      </c>
      <c r="D62" s="459">
        <v>1108000</v>
      </c>
      <c r="E62" s="460">
        <v>366</v>
      </c>
      <c r="F62" s="404">
        <f t="shared" si="10"/>
        <v>2.29E-2</v>
      </c>
      <c r="G62" s="399">
        <f t="shared" si="11"/>
        <v>6.3700000000000007E-2</v>
      </c>
      <c r="H62" s="399">
        <f t="shared" si="12"/>
        <v>1.1080000000000001</v>
      </c>
      <c r="I62" s="402">
        <f t="shared" si="13"/>
        <v>3.6600000000000001E-4</v>
      </c>
      <c r="J62" s="299"/>
      <c r="K62" s="299"/>
      <c r="L62" s="299"/>
      <c r="M62" s="299"/>
      <c r="N62" s="299"/>
      <c r="O62" s="299"/>
      <c r="P62" s="299"/>
      <c r="Q62" s="299"/>
      <c r="R62" s="299"/>
      <c r="S62" s="299"/>
    </row>
    <row r="63" spans="1:19">
      <c r="A63" s="487">
        <f t="shared" si="14"/>
        <v>2053</v>
      </c>
      <c r="B63" s="458">
        <v>22900</v>
      </c>
      <c r="C63" s="458">
        <v>63700</v>
      </c>
      <c r="D63" s="459">
        <v>1108000</v>
      </c>
      <c r="E63" s="460">
        <v>370</v>
      </c>
      <c r="F63" s="404">
        <f t="shared" si="10"/>
        <v>2.29E-2</v>
      </c>
      <c r="G63" s="399">
        <f t="shared" si="11"/>
        <v>6.3700000000000007E-2</v>
      </c>
      <c r="H63" s="399">
        <f t="shared" si="12"/>
        <v>1.1080000000000001</v>
      </c>
      <c r="I63" s="402">
        <f t="shared" si="13"/>
        <v>3.6999999999999999E-4</v>
      </c>
      <c r="J63" s="299"/>
      <c r="K63" s="299"/>
      <c r="L63" s="299"/>
      <c r="M63" s="299"/>
      <c r="N63" s="299"/>
      <c r="O63" s="299"/>
      <c r="P63" s="299"/>
      <c r="Q63" s="299"/>
      <c r="R63" s="299"/>
      <c r="S63" s="299"/>
    </row>
    <row r="64" spans="1:19">
      <c r="A64" s="487">
        <f t="shared" si="14"/>
        <v>2054</v>
      </c>
      <c r="B64" s="458">
        <v>22900</v>
      </c>
      <c r="C64" s="458">
        <v>63700</v>
      </c>
      <c r="D64" s="459">
        <v>1108000</v>
      </c>
      <c r="E64" s="460">
        <v>375</v>
      </c>
      <c r="F64" s="404">
        <f t="shared" si="10"/>
        <v>2.29E-2</v>
      </c>
      <c r="G64" s="399">
        <f t="shared" si="11"/>
        <v>6.3700000000000007E-2</v>
      </c>
      <c r="H64" s="399">
        <f t="shared" si="12"/>
        <v>1.1080000000000001</v>
      </c>
      <c r="I64" s="402">
        <f t="shared" si="13"/>
        <v>3.7500000000000001E-4</v>
      </c>
      <c r="J64" s="299"/>
      <c r="K64" s="299"/>
      <c r="L64" s="299"/>
      <c r="M64" s="299"/>
      <c r="N64" s="299"/>
      <c r="O64" s="299"/>
      <c r="P64" s="299"/>
      <c r="Q64" s="299"/>
      <c r="R64" s="299"/>
      <c r="S64" s="299"/>
    </row>
    <row r="65" spans="1:20">
      <c r="A65" s="487">
        <f t="shared" si="14"/>
        <v>2055</v>
      </c>
      <c r="B65" s="458">
        <v>22900</v>
      </c>
      <c r="C65" s="458">
        <v>63700</v>
      </c>
      <c r="D65" s="459">
        <v>1108000</v>
      </c>
      <c r="E65" s="460">
        <v>375</v>
      </c>
      <c r="F65" s="404">
        <f t="shared" si="10"/>
        <v>2.29E-2</v>
      </c>
      <c r="G65" s="399">
        <f t="shared" si="11"/>
        <v>6.3700000000000007E-2</v>
      </c>
      <c r="H65" s="399">
        <f t="shared" si="12"/>
        <v>1.1080000000000001</v>
      </c>
      <c r="I65" s="402">
        <f t="shared" si="13"/>
        <v>3.7500000000000001E-4</v>
      </c>
      <c r="J65" s="299"/>
      <c r="K65" s="299"/>
      <c r="L65" s="299"/>
      <c r="M65" s="299"/>
      <c r="N65" s="299"/>
      <c r="O65" s="299"/>
      <c r="P65" s="299"/>
      <c r="Q65" s="299"/>
      <c r="R65" s="299"/>
      <c r="S65" s="299"/>
    </row>
    <row r="66" spans="1:20">
      <c r="A66" s="487">
        <f t="shared" si="14"/>
        <v>2056</v>
      </c>
      <c r="B66" s="458">
        <v>22900</v>
      </c>
      <c r="C66" s="458">
        <v>63700</v>
      </c>
      <c r="D66" s="459">
        <v>1108000</v>
      </c>
      <c r="E66" s="460">
        <v>375</v>
      </c>
      <c r="F66" s="404">
        <f t="shared" si="10"/>
        <v>2.29E-2</v>
      </c>
      <c r="G66" s="399">
        <f t="shared" si="11"/>
        <v>6.3700000000000007E-2</v>
      </c>
      <c r="H66" s="399">
        <f t="shared" si="12"/>
        <v>1.1080000000000001</v>
      </c>
      <c r="I66" s="402">
        <f t="shared" si="13"/>
        <v>3.7500000000000001E-4</v>
      </c>
      <c r="J66" s="299"/>
      <c r="K66" s="299"/>
      <c r="L66" s="299"/>
      <c r="M66" s="299"/>
      <c r="N66" s="299"/>
      <c r="O66" s="299"/>
      <c r="P66" s="299"/>
      <c r="Q66" s="299"/>
      <c r="R66" s="299"/>
      <c r="S66" s="299"/>
    </row>
    <row r="67" spans="1:20">
      <c r="A67" s="487">
        <f t="shared" si="14"/>
        <v>2057</v>
      </c>
      <c r="B67" s="458">
        <v>22900</v>
      </c>
      <c r="C67" s="458">
        <v>63700</v>
      </c>
      <c r="D67" s="459">
        <v>1108000</v>
      </c>
      <c r="E67" s="460">
        <v>375</v>
      </c>
      <c r="F67" s="404">
        <f t="shared" si="10"/>
        <v>2.29E-2</v>
      </c>
      <c r="G67" s="399">
        <f t="shared" si="11"/>
        <v>6.3700000000000007E-2</v>
      </c>
      <c r="H67" s="399">
        <f t="shared" si="12"/>
        <v>1.1080000000000001</v>
      </c>
      <c r="I67" s="402">
        <f t="shared" si="13"/>
        <v>3.7500000000000001E-4</v>
      </c>
      <c r="J67" s="299"/>
      <c r="K67" s="299"/>
      <c r="L67" s="299"/>
      <c r="M67" s="299"/>
      <c r="N67" s="299"/>
      <c r="O67" s="299"/>
      <c r="P67" s="299"/>
      <c r="Q67" s="299"/>
      <c r="R67" s="299"/>
      <c r="S67" s="299"/>
    </row>
    <row r="68" spans="1:20">
      <c r="A68" s="487">
        <f t="shared" si="14"/>
        <v>2058</v>
      </c>
      <c r="B68" s="458">
        <v>22900</v>
      </c>
      <c r="C68" s="458">
        <v>63700</v>
      </c>
      <c r="D68" s="459">
        <v>1108000</v>
      </c>
      <c r="E68" s="460">
        <v>375</v>
      </c>
      <c r="F68" s="404">
        <f t="shared" si="10"/>
        <v>2.29E-2</v>
      </c>
      <c r="G68" s="399">
        <f t="shared" si="11"/>
        <v>6.3700000000000007E-2</v>
      </c>
      <c r="H68" s="399">
        <f t="shared" si="12"/>
        <v>1.1080000000000001</v>
      </c>
      <c r="I68" s="402">
        <f t="shared" si="13"/>
        <v>3.7500000000000001E-4</v>
      </c>
      <c r="J68" s="299"/>
      <c r="K68" s="299"/>
      <c r="L68" s="299"/>
      <c r="M68" s="299"/>
      <c r="N68" s="299"/>
      <c r="O68" s="299"/>
      <c r="P68" s="299"/>
      <c r="Q68" s="299"/>
      <c r="R68" s="299"/>
      <c r="S68" s="299"/>
    </row>
    <row r="69" spans="1:20">
      <c r="A69" s="487">
        <f t="shared" si="14"/>
        <v>2059</v>
      </c>
      <c r="B69" s="458">
        <v>22900</v>
      </c>
      <c r="C69" s="458">
        <v>63700</v>
      </c>
      <c r="D69" s="459">
        <v>1108000</v>
      </c>
      <c r="E69" s="460">
        <v>375</v>
      </c>
      <c r="F69" s="404">
        <f t="shared" si="10"/>
        <v>2.29E-2</v>
      </c>
      <c r="G69" s="399">
        <f t="shared" si="11"/>
        <v>6.3700000000000007E-2</v>
      </c>
      <c r="H69" s="399">
        <f t="shared" si="12"/>
        <v>1.1080000000000001</v>
      </c>
      <c r="I69" s="402">
        <f t="shared" si="13"/>
        <v>3.7500000000000001E-4</v>
      </c>
      <c r="J69" s="299"/>
      <c r="K69" s="299"/>
      <c r="L69" s="299"/>
      <c r="M69" s="299"/>
      <c r="N69" s="299"/>
      <c r="O69" s="299"/>
      <c r="P69" s="299"/>
      <c r="Q69" s="299"/>
      <c r="R69" s="299"/>
      <c r="S69" s="299"/>
    </row>
    <row r="70" spans="1:20">
      <c r="A70" s="487">
        <f t="shared" si="14"/>
        <v>2060</v>
      </c>
      <c r="B70" s="458">
        <v>22900</v>
      </c>
      <c r="C70" s="458">
        <v>63700</v>
      </c>
      <c r="D70" s="459">
        <v>1108000</v>
      </c>
      <c r="E70" s="460">
        <v>375</v>
      </c>
      <c r="F70" s="404">
        <f t="shared" si="10"/>
        <v>2.29E-2</v>
      </c>
      <c r="G70" s="399">
        <f t="shared" si="11"/>
        <v>6.3700000000000007E-2</v>
      </c>
      <c r="H70" s="399">
        <f t="shared" si="12"/>
        <v>1.1080000000000001</v>
      </c>
      <c r="I70" s="402">
        <f t="shared" si="13"/>
        <v>3.7500000000000001E-4</v>
      </c>
      <c r="J70" s="299"/>
      <c r="K70" s="299"/>
      <c r="L70" s="299"/>
      <c r="M70" s="299"/>
      <c r="N70" s="299"/>
      <c r="O70" s="299"/>
      <c r="P70" s="299"/>
      <c r="Q70" s="299"/>
      <c r="R70" s="299"/>
      <c r="S70" s="299"/>
    </row>
    <row r="71" spans="1:20">
      <c r="A71" s="487">
        <f t="shared" si="14"/>
        <v>2061</v>
      </c>
      <c r="B71" s="458">
        <v>22900</v>
      </c>
      <c r="C71" s="458">
        <v>63700</v>
      </c>
      <c r="D71" s="459">
        <v>1108000</v>
      </c>
      <c r="E71" s="460">
        <v>375</v>
      </c>
      <c r="F71" s="404">
        <f t="shared" si="10"/>
        <v>2.29E-2</v>
      </c>
      <c r="G71" s="399">
        <f t="shared" si="11"/>
        <v>6.3700000000000007E-2</v>
      </c>
      <c r="H71" s="399">
        <f t="shared" si="12"/>
        <v>1.1080000000000001</v>
      </c>
      <c r="I71" s="402">
        <f t="shared" si="13"/>
        <v>3.7500000000000001E-4</v>
      </c>
      <c r="J71" s="299"/>
      <c r="K71" s="299"/>
      <c r="L71" s="299"/>
      <c r="M71" s="299"/>
      <c r="N71" s="299"/>
      <c r="O71" s="299"/>
      <c r="P71" s="299"/>
      <c r="Q71" s="299"/>
      <c r="R71" s="299"/>
      <c r="S71" s="299"/>
    </row>
    <row r="72" spans="1:20">
      <c r="A72" s="487">
        <f t="shared" si="14"/>
        <v>2062</v>
      </c>
      <c r="B72" s="458">
        <v>22900</v>
      </c>
      <c r="C72" s="458">
        <v>63700</v>
      </c>
      <c r="D72" s="459">
        <v>1108000</v>
      </c>
      <c r="E72" s="460">
        <v>375</v>
      </c>
      <c r="F72" s="404">
        <f t="shared" si="10"/>
        <v>2.29E-2</v>
      </c>
      <c r="G72" s="399">
        <f t="shared" si="11"/>
        <v>6.3700000000000007E-2</v>
      </c>
      <c r="H72" s="399">
        <f t="shared" si="12"/>
        <v>1.1080000000000001</v>
      </c>
      <c r="I72" s="402">
        <f t="shared" si="13"/>
        <v>3.7500000000000001E-4</v>
      </c>
      <c r="J72" s="299"/>
      <c r="K72" s="299"/>
      <c r="L72" s="299"/>
      <c r="M72" s="299"/>
      <c r="N72" s="299"/>
      <c r="O72" s="299"/>
      <c r="P72" s="299"/>
      <c r="Q72" s="299"/>
      <c r="R72" s="299"/>
      <c r="S72" s="299"/>
    </row>
    <row r="73" spans="1:20" ht="13.5" thickBot="1">
      <c r="A73" s="487">
        <f t="shared" si="14"/>
        <v>2063</v>
      </c>
      <c r="B73" s="461">
        <v>22900</v>
      </c>
      <c r="C73" s="461">
        <v>63700</v>
      </c>
      <c r="D73" s="462">
        <v>1108000</v>
      </c>
      <c r="E73" s="460">
        <v>375</v>
      </c>
      <c r="F73" s="405">
        <f t="shared" si="10"/>
        <v>2.29E-2</v>
      </c>
      <c r="G73" s="406">
        <f t="shared" si="11"/>
        <v>6.3700000000000007E-2</v>
      </c>
      <c r="H73" s="406">
        <f t="shared" si="12"/>
        <v>1.1080000000000001</v>
      </c>
      <c r="I73" s="403">
        <f t="shared" si="13"/>
        <v>3.7500000000000001E-4</v>
      </c>
      <c r="J73" s="299"/>
      <c r="K73" s="299"/>
      <c r="L73" s="299"/>
      <c r="M73" s="299"/>
      <c r="N73" s="299"/>
      <c r="O73" s="299"/>
      <c r="P73" s="299"/>
      <c r="Q73" s="299"/>
      <c r="R73" s="299"/>
      <c r="S73" s="299"/>
    </row>
    <row r="74" spans="1:20">
      <c r="A74" s="785" t="s">
        <v>360</v>
      </c>
      <c r="B74" s="786"/>
      <c r="C74" s="786"/>
      <c r="D74" s="786"/>
      <c r="E74" s="787"/>
      <c r="F74" s="409"/>
      <c r="G74" s="410"/>
      <c r="H74" s="410"/>
      <c r="I74" s="411"/>
      <c r="J74" s="299"/>
      <c r="K74" s="299"/>
      <c r="L74" s="299"/>
      <c r="M74" s="299"/>
      <c r="N74" s="299"/>
      <c r="O74" s="299"/>
      <c r="P74" s="299"/>
      <c r="Q74" s="299"/>
      <c r="R74" s="299"/>
      <c r="S74" s="299"/>
      <c r="T74" s="299"/>
    </row>
    <row r="75" spans="1:20">
      <c r="A75" s="776" t="s">
        <v>361</v>
      </c>
      <c r="B75" s="777"/>
      <c r="C75" s="777"/>
      <c r="D75" s="777"/>
      <c r="E75" s="778"/>
      <c r="F75" s="412"/>
      <c r="G75" s="309"/>
      <c r="H75" s="309"/>
      <c r="I75" s="413"/>
      <c r="J75" s="299"/>
      <c r="K75" s="299"/>
      <c r="L75" s="299"/>
      <c r="M75" s="299"/>
      <c r="N75" s="299"/>
      <c r="O75" s="299"/>
      <c r="P75" s="299"/>
      <c r="Q75" s="299"/>
      <c r="R75" s="299"/>
      <c r="S75" s="299"/>
      <c r="T75" s="299"/>
    </row>
    <row r="76" spans="1:20">
      <c r="A76" s="397"/>
      <c r="B76" s="397"/>
      <c r="C76" s="397"/>
      <c r="D76" s="299"/>
      <c r="E76" s="299"/>
      <c r="F76" s="299"/>
      <c r="G76" s="299"/>
      <c r="H76" s="299"/>
      <c r="I76" s="299"/>
      <c r="J76" s="299"/>
      <c r="K76" s="299"/>
      <c r="L76" s="299"/>
      <c r="M76" s="299"/>
      <c r="N76" s="299"/>
      <c r="O76" s="299"/>
      <c r="P76" s="299"/>
      <c r="Q76" s="299"/>
      <c r="R76" s="299"/>
      <c r="S76" s="299"/>
      <c r="T76" s="299"/>
    </row>
    <row r="77" spans="1:20">
      <c r="A77" s="397"/>
      <c r="B77" s="397"/>
      <c r="C77" s="397"/>
      <c r="D77" s="299"/>
      <c r="E77" s="299"/>
      <c r="F77" s="299"/>
      <c r="G77" s="299"/>
      <c r="H77" s="299"/>
      <c r="I77" s="299"/>
      <c r="J77" s="299"/>
      <c r="K77" s="299"/>
      <c r="L77" s="299"/>
      <c r="M77" s="299"/>
      <c r="N77" s="299"/>
      <c r="O77" s="299"/>
      <c r="P77" s="299"/>
      <c r="Q77" s="299"/>
      <c r="R77" s="299"/>
      <c r="S77" s="299"/>
      <c r="T77" s="299"/>
    </row>
    <row r="78" spans="1:20">
      <c r="A78" s="299"/>
      <c r="B78" s="299"/>
      <c r="C78" s="299"/>
      <c r="D78" s="299"/>
      <c r="E78" s="299"/>
      <c r="F78" s="299"/>
      <c r="G78" s="299"/>
      <c r="H78" s="299"/>
      <c r="I78" s="299"/>
      <c r="J78" s="299"/>
      <c r="K78" s="299"/>
      <c r="L78" s="299"/>
      <c r="M78" s="299"/>
      <c r="N78" s="299"/>
      <c r="O78" s="299"/>
      <c r="P78" s="299"/>
      <c r="Q78" s="299"/>
      <c r="R78" s="299"/>
      <c r="S78" s="299"/>
      <c r="T78" s="299"/>
    </row>
    <row r="79" spans="1:20" ht="13.5" thickBot="1">
      <c r="A79" s="299"/>
      <c r="B79" s="299"/>
      <c r="C79" s="299"/>
      <c r="D79" s="299"/>
      <c r="E79" s="299"/>
      <c r="F79" s="299"/>
      <c r="G79" s="299"/>
      <c r="H79" s="299"/>
      <c r="I79" s="299"/>
      <c r="J79" s="299"/>
      <c r="K79" s="299"/>
      <c r="L79" s="299"/>
      <c r="M79" s="299"/>
      <c r="N79" s="299"/>
      <c r="O79" s="299"/>
      <c r="P79" s="299"/>
      <c r="Q79" s="299"/>
      <c r="R79" s="299"/>
      <c r="S79" s="299"/>
      <c r="T79" s="299"/>
    </row>
    <row r="80" spans="1:20" ht="18">
      <c r="A80" s="760" t="s">
        <v>362</v>
      </c>
      <c r="B80" s="761"/>
      <c r="C80" s="761"/>
      <c r="D80" s="762"/>
      <c r="E80" s="299"/>
      <c r="F80" s="766" t="s">
        <v>363</v>
      </c>
      <c r="G80" s="758" t="s">
        <v>364</v>
      </c>
      <c r="H80" s="759"/>
      <c r="I80" s="759"/>
      <c r="J80" s="759"/>
      <c r="K80" s="299"/>
      <c r="L80" s="299"/>
      <c r="M80" s="299"/>
      <c r="N80" s="299"/>
      <c r="O80" s="299"/>
      <c r="P80" s="299"/>
      <c r="Q80" s="299"/>
      <c r="R80" s="299"/>
      <c r="S80" s="299"/>
      <c r="T80" s="299"/>
    </row>
    <row r="81" spans="1:20" ht="15.75">
      <c r="A81" s="419" t="s">
        <v>363</v>
      </c>
      <c r="B81" s="567" t="s">
        <v>356</v>
      </c>
      <c r="C81" s="567" t="s">
        <v>358</v>
      </c>
      <c r="D81" s="401" t="s">
        <v>359</v>
      </c>
      <c r="E81" s="299"/>
      <c r="F81" s="766"/>
      <c r="G81" s="607" t="s">
        <v>357</v>
      </c>
      <c r="H81" s="608"/>
      <c r="I81" s="607" t="s">
        <v>365</v>
      </c>
      <c r="J81" s="608"/>
      <c r="K81" s="299"/>
      <c r="L81" s="299"/>
      <c r="M81" s="299"/>
      <c r="N81" s="299"/>
      <c r="O81" s="299"/>
      <c r="P81" s="299"/>
      <c r="Q81" s="299"/>
      <c r="R81" s="299"/>
      <c r="S81" s="299"/>
    </row>
    <row r="82" spans="1:20">
      <c r="A82" s="420" t="s">
        <v>366</v>
      </c>
      <c r="B82" s="583">
        <v>0.91</v>
      </c>
      <c r="C82" s="583">
        <v>0.01</v>
      </c>
      <c r="D82" s="454">
        <v>532</v>
      </c>
      <c r="E82" s="299"/>
      <c r="F82" s="302" t="s">
        <v>366</v>
      </c>
      <c r="G82" s="769">
        <v>0.03</v>
      </c>
      <c r="H82" s="770" t="s">
        <v>367</v>
      </c>
      <c r="I82" s="772">
        <v>3.79</v>
      </c>
      <c r="J82" s="774" t="s">
        <v>368</v>
      </c>
      <c r="K82" s="299"/>
      <c r="L82" s="299"/>
      <c r="M82" s="299"/>
      <c r="N82" s="299"/>
      <c r="O82" s="299"/>
      <c r="P82" s="299"/>
      <c r="Q82" s="299"/>
      <c r="R82" s="299"/>
      <c r="S82" s="299"/>
    </row>
    <row r="83" spans="1:20">
      <c r="A83" s="420" t="s">
        <v>369</v>
      </c>
      <c r="B83" s="583">
        <v>8.6129999999999995</v>
      </c>
      <c r="C83" s="583">
        <v>0.20200000000000001</v>
      </c>
      <c r="D83" s="454">
        <v>1430</v>
      </c>
      <c r="E83" s="299"/>
      <c r="F83" s="302" t="s">
        <v>369</v>
      </c>
      <c r="G83" s="769"/>
      <c r="H83" s="771"/>
      <c r="I83" s="773"/>
      <c r="J83" s="775"/>
      <c r="K83" s="299"/>
      <c r="L83" s="299"/>
      <c r="M83" s="299"/>
      <c r="N83" s="299"/>
      <c r="O83" s="299"/>
      <c r="P83" s="299"/>
      <c r="Q83" s="299"/>
      <c r="R83" s="299"/>
      <c r="S83" s="299"/>
    </row>
    <row r="84" spans="1:20">
      <c r="A84" s="420" t="s">
        <v>370</v>
      </c>
      <c r="B84" s="583">
        <v>8.67</v>
      </c>
      <c r="C84" s="583">
        <v>0.48</v>
      </c>
      <c r="D84" s="454">
        <v>3319</v>
      </c>
      <c r="F84" s="302" t="s">
        <v>366</v>
      </c>
      <c r="G84" s="767">
        <f>G82*I82</f>
        <v>0.1137</v>
      </c>
      <c r="H84" s="768" t="s">
        <v>371</v>
      </c>
      <c r="I84" s="457">
        <v>40.4</v>
      </c>
      <c r="J84" s="584" t="s">
        <v>372</v>
      </c>
      <c r="K84" s="299"/>
      <c r="L84" s="299"/>
      <c r="M84" s="299"/>
      <c r="N84" s="299"/>
      <c r="O84" s="299"/>
      <c r="P84" s="299"/>
      <c r="Q84" s="299"/>
      <c r="R84" s="299"/>
      <c r="S84" s="299"/>
    </row>
    <row r="85" spans="1:20">
      <c r="A85" s="420" t="s">
        <v>373</v>
      </c>
      <c r="B85" s="583">
        <v>3.84</v>
      </c>
      <c r="C85" s="583">
        <v>0.01</v>
      </c>
      <c r="D85" s="454">
        <v>2935</v>
      </c>
      <c r="F85" s="302" t="s">
        <v>369</v>
      </c>
      <c r="G85" s="767"/>
      <c r="H85" s="767"/>
      <c r="I85" s="457">
        <v>15</v>
      </c>
      <c r="J85" s="584" t="s">
        <v>374</v>
      </c>
      <c r="K85" s="299"/>
      <c r="L85" s="299"/>
      <c r="M85" s="299"/>
      <c r="N85" s="299"/>
      <c r="O85" s="299"/>
      <c r="P85" s="299"/>
      <c r="Q85" s="299"/>
      <c r="R85" s="299"/>
      <c r="S85" s="299"/>
    </row>
    <row r="86" spans="1:20">
      <c r="A86" s="421" t="s">
        <v>375</v>
      </c>
      <c r="B86" s="455">
        <v>5.83</v>
      </c>
      <c r="C86" s="455">
        <v>0.378</v>
      </c>
      <c r="D86" s="456">
        <v>2934</v>
      </c>
      <c r="F86" s="302" t="s">
        <v>366</v>
      </c>
      <c r="G86" s="422">
        <f>$G$84/I84</f>
        <v>2.8143564356435643E-3</v>
      </c>
      <c r="H86" s="582" t="s">
        <v>376</v>
      </c>
      <c r="J86" s="299"/>
      <c r="K86" s="299"/>
      <c r="L86" s="299"/>
      <c r="M86" s="299"/>
      <c r="N86" s="299"/>
      <c r="O86" s="299"/>
      <c r="P86" s="299"/>
      <c r="Q86" s="299"/>
      <c r="R86" s="299"/>
      <c r="S86" s="299"/>
    </row>
    <row r="87" spans="1:20" ht="42.75" customHeight="1">
      <c r="A87" s="765" t="s">
        <v>377</v>
      </c>
      <c r="B87" s="765"/>
      <c r="C87" s="765"/>
      <c r="D87" s="765"/>
      <c r="F87" s="302" t="s">
        <v>369</v>
      </c>
      <c r="G87" s="422">
        <f>$G$84/I85</f>
        <v>7.5799999999999999E-3</v>
      </c>
      <c r="H87" s="582" t="s">
        <v>376</v>
      </c>
      <c r="J87" s="299"/>
      <c r="K87" s="299"/>
      <c r="L87" s="299"/>
      <c r="M87" s="299"/>
      <c r="N87" s="299"/>
      <c r="O87" s="299"/>
      <c r="P87" s="299"/>
      <c r="Q87" s="299"/>
      <c r="R87" s="299"/>
      <c r="S87" s="299"/>
      <c r="T87" s="299"/>
    </row>
    <row r="88" spans="1:20" ht="12.95" customHeight="1">
      <c r="A88" s="765"/>
      <c r="B88" s="765"/>
      <c r="C88" s="765"/>
      <c r="D88" s="765"/>
      <c r="F88" s="423" t="s">
        <v>378</v>
      </c>
      <c r="J88" s="299"/>
      <c r="K88" s="299"/>
      <c r="L88" s="299"/>
      <c r="M88" s="299"/>
      <c r="N88" s="299"/>
      <c r="O88" s="299"/>
      <c r="P88" s="299"/>
      <c r="Q88" s="299"/>
      <c r="R88" s="299"/>
      <c r="S88" s="299"/>
      <c r="T88" s="299"/>
    </row>
    <row r="89" spans="1:20" ht="12.75" customHeight="1">
      <c r="A89" s="764" t="s">
        <v>379</v>
      </c>
      <c r="B89" s="764"/>
      <c r="C89" s="764"/>
      <c r="D89" s="764"/>
      <c r="J89" s="299"/>
      <c r="K89" s="299"/>
      <c r="L89" s="299"/>
      <c r="M89" s="299"/>
      <c r="N89" s="299"/>
      <c r="O89" s="299"/>
      <c r="P89" s="299"/>
      <c r="Q89" s="299"/>
      <c r="R89" s="299"/>
      <c r="S89" s="299"/>
      <c r="T89" s="299"/>
    </row>
    <row r="90" spans="1:20">
      <c r="A90" s="764"/>
      <c r="B90" s="764"/>
      <c r="C90" s="764"/>
      <c r="D90" s="764"/>
      <c r="L90" s="299"/>
      <c r="M90" s="299"/>
      <c r="N90" s="299"/>
      <c r="O90" s="299"/>
      <c r="P90" s="299"/>
      <c r="Q90" s="299"/>
      <c r="R90" s="299"/>
      <c r="S90" s="299"/>
      <c r="T90" s="299"/>
    </row>
    <row r="91" spans="1:20" ht="12.95" customHeight="1">
      <c r="A91" s="763" t="s">
        <v>380</v>
      </c>
      <c r="B91" s="763"/>
      <c r="C91" s="763"/>
      <c r="D91" s="763"/>
      <c r="L91" s="299"/>
      <c r="M91" s="299"/>
      <c r="N91" s="299"/>
      <c r="O91" s="299"/>
      <c r="P91" s="299"/>
      <c r="Q91" s="299"/>
      <c r="R91" s="299"/>
      <c r="S91" s="299"/>
      <c r="T91" s="299"/>
    </row>
    <row r="92" spans="1:20">
      <c r="A92" s="763"/>
      <c r="B92" s="763"/>
      <c r="C92" s="763"/>
      <c r="D92" s="763"/>
      <c r="J92" s="299"/>
      <c r="K92" s="299"/>
      <c r="L92" s="299"/>
      <c r="M92" s="299"/>
      <c r="N92" s="299"/>
      <c r="O92" s="299"/>
      <c r="P92" s="299"/>
      <c r="Q92" s="299"/>
      <c r="R92" s="299"/>
      <c r="S92" s="299"/>
      <c r="T92" s="299"/>
    </row>
    <row r="93" spans="1:20">
      <c r="A93" s="299"/>
      <c r="B93" s="299"/>
      <c r="C93" s="299"/>
      <c r="D93" s="299"/>
      <c r="J93" s="299"/>
      <c r="K93" s="299"/>
      <c r="L93" s="299"/>
      <c r="M93" s="299"/>
      <c r="N93" s="299"/>
      <c r="O93" s="299"/>
      <c r="P93" s="299"/>
      <c r="Q93" s="299"/>
      <c r="R93" s="299"/>
      <c r="S93" s="299"/>
      <c r="T93" s="299"/>
    </row>
    <row r="94" spans="1:20">
      <c r="A94" s="303" t="s">
        <v>381</v>
      </c>
      <c r="B94" s="299"/>
      <c r="C94" s="299"/>
      <c r="D94" s="299"/>
      <c r="E94" s="299"/>
      <c r="J94" s="299"/>
      <c r="K94" s="299"/>
      <c r="L94" s="299"/>
      <c r="M94" s="299"/>
      <c r="N94" s="299"/>
      <c r="O94" s="299"/>
      <c r="P94" s="299"/>
      <c r="Q94" s="299"/>
      <c r="R94" s="299"/>
      <c r="S94" s="299"/>
      <c r="T94" s="299"/>
    </row>
    <row r="95" spans="1:20">
      <c r="A95" s="299"/>
      <c r="B95" s="299"/>
      <c r="C95" s="299"/>
      <c r="D95" s="299"/>
      <c r="E95" s="299"/>
      <c r="F95" s="299"/>
      <c r="G95" s="299"/>
      <c r="H95" s="299"/>
      <c r="I95" s="299"/>
      <c r="J95" s="299"/>
      <c r="K95" s="299"/>
      <c r="L95" s="299"/>
      <c r="M95" s="299"/>
      <c r="N95" s="299"/>
      <c r="O95" s="299"/>
      <c r="P95" s="299"/>
      <c r="Q95" s="299"/>
      <c r="R95" s="299"/>
      <c r="S95" s="299"/>
      <c r="T95" s="299"/>
    </row>
    <row r="96" spans="1:20">
      <c r="A96" s="299"/>
      <c r="B96" s="299"/>
      <c r="C96" s="299"/>
      <c r="D96" s="299"/>
      <c r="E96" s="299"/>
      <c r="F96" s="299"/>
      <c r="G96" s="299"/>
      <c r="H96" s="299"/>
      <c r="I96" s="299"/>
      <c r="J96" s="299"/>
      <c r="K96" s="299"/>
      <c r="L96" s="299"/>
      <c r="M96" s="299"/>
      <c r="N96" s="299"/>
      <c r="O96" s="299"/>
      <c r="P96" s="299"/>
      <c r="Q96" s="299"/>
      <c r="R96" s="299"/>
      <c r="S96" s="299"/>
      <c r="T96" s="299"/>
    </row>
    <row r="97" spans="1:20">
      <c r="A97" s="299"/>
      <c r="B97" s="299"/>
      <c r="C97" s="299"/>
      <c r="D97" s="299"/>
      <c r="E97" s="299"/>
      <c r="F97" s="299"/>
      <c r="G97" s="299"/>
      <c r="H97" s="299"/>
      <c r="I97" s="299"/>
      <c r="J97" s="299"/>
      <c r="K97" s="299"/>
      <c r="L97" s="299"/>
      <c r="M97" s="299"/>
      <c r="N97" s="299"/>
      <c r="O97" s="299"/>
      <c r="P97" s="299"/>
      <c r="Q97" s="299"/>
      <c r="R97" s="299"/>
      <c r="S97" s="299"/>
      <c r="T97" s="299"/>
    </row>
    <row r="98" spans="1:20" ht="12.95" customHeight="1">
      <c r="A98" s="299"/>
      <c r="B98" s="299"/>
      <c r="C98" s="299"/>
      <c r="D98" s="299"/>
      <c r="E98" s="299"/>
      <c r="F98" s="299"/>
      <c r="G98" s="299"/>
      <c r="H98" s="299"/>
      <c r="I98" s="299"/>
      <c r="J98" s="299"/>
      <c r="K98" s="299"/>
      <c r="L98" s="299"/>
      <c r="M98" s="299"/>
      <c r="N98" s="299"/>
      <c r="O98" s="299"/>
      <c r="P98" s="299"/>
      <c r="Q98" s="299"/>
      <c r="R98" s="299"/>
      <c r="S98" s="299"/>
      <c r="T98" s="299"/>
    </row>
    <row r="99" spans="1:20">
      <c r="A99" s="299"/>
      <c r="B99" s="299"/>
      <c r="C99" s="299"/>
      <c r="D99" s="299"/>
      <c r="E99" s="299"/>
      <c r="F99" s="299"/>
      <c r="G99" s="299"/>
      <c r="H99" s="299"/>
      <c r="I99" s="299"/>
      <c r="J99" s="299"/>
      <c r="K99" s="299"/>
      <c r="L99" s="299"/>
      <c r="M99" s="299"/>
      <c r="N99" s="299"/>
      <c r="O99" s="299"/>
      <c r="P99" s="299"/>
      <c r="Q99" s="299"/>
      <c r="R99" s="299"/>
      <c r="S99" s="299"/>
      <c r="T99" s="299"/>
    </row>
    <row r="100" spans="1:20">
      <c r="A100" s="299"/>
      <c r="B100" s="299"/>
      <c r="C100" s="299"/>
      <c r="D100" s="299"/>
      <c r="E100" s="299"/>
      <c r="F100" s="299"/>
      <c r="G100" s="299"/>
      <c r="H100" s="299"/>
      <c r="I100" s="299"/>
      <c r="J100" s="299"/>
      <c r="K100" s="299"/>
      <c r="L100" s="299"/>
      <c r="M100" s="299"/>
      <c r="N100" s="299"/>
      <c r="O100" s="299"/>
      <c r="P100" s="299"/>
      <c r="Q100" s="299"/>
      <c r="R100" s="299"/>
      <c r="S100" s="299"/>
      <c r="T100" s="299"/>
    </row>
    <row r="101" spans="1:20">
      <c r="A101" s="299"/>
      <c r="B101" s="299"/>
      <c r="C101" s="299"/>
      <c r="D101" s="299"/>
      <c r="E101" s="299"/>
      <c r="F101" s="299"/>
      <c r="G101" s="299"/>
      <c r="H101" s="299"/>
      <c r="I101" s="299"/>
      <c r="J101" s="299"/>
      <c r="K101" s="299"/>
      <c r="L101" s="299"/>
      <c r="M101" s="299"/>
      <c r="N101" s="299"/>
      <c r="O101" s="299"/>
      <c r="P101" s="299"/>
      <c r="Q101" s="299"/>
      <c r="R101" s="299"/>
      <c r="S101" s="299"/>
      <c r="T101" s="299"/>
    </row>
    <row r="102" spans="1:20">
      <c r="A102" s="299"/>
      <c r="B102" s="299"/>
      <c r="C102" s="299"/>
      <c r="D102" s="299"/>
      <c r="E102" s="299"/>
      <c r="F102" s="299"/>
      <c r="G102" s="299"/>
      <c r="H102" s="299"/>
      <c r="I102" s="299"/>
      <c r="J102" s="299"/>
      <c r="K102" s="299"/>
      <c r="L102" s="299"/>
      <c r="M102" s="299"/>
      <c r="N102" s="299"/>
      <c r="O102" s="299"/>
      <c r="P102" s="299"/>
      <c r="Q102" s="299"/>
      <c r="R102" s="299"/>
      <c r="S102" s="299"/>
      <c r="T102" s="299"/>
    </row>
    <row r="103" spans="1:20">
      <c r="A103" s="299"/>
      <c r="B103" s="299"/>
      <c r="C103" s="299"/>
      <c r="D103" s="299"/>
      <c r="E103" s="299"/>
      <c r="F103" s="299"/>
      <c r="G103" s="299"/>
      <c r="H103" s="299"/>
      <c r="I103" s="299"/>
      <c r="J103" s="299"/>
      <c r="K103" s="299"/>
      <c r="L103" s="299"/>
      <c r="M103" s="299"/>
      <c r="N103" s="299"/>
      <c r="O103" s="299"/>
      <c r="P103" s="299"/>
      <c r="Q103" s="299"/>
      <c r="R103" s="299"/>
      <c r="S103" s="299"/>
      <c r="T103" s="299"/>
    </row>
    <row r="104" spans="1:20">
      <c r="A104" s="299"/>
      <c r="B104" s="299"/>
      <c r="C104" s="299"/>
      <c r="D104" s="299"/>
      <c r="E104" s="299"/>
      <c r="F104" s="299"/>
      <c r="G104" s="299"/>
      <c r="H104" s="299"/>
      <c r="I104" s="299"/>
      <c r="J104" s="299"/>
      <c r="K104" s="299"/>
      <c r="L104" s="299"/>
      <c r="M104" s="299"/>
      <c r="N104" s="299"/>
      <c r="O104" s="299"/>
      <c r="P104" s="299"/>
      <c r="Q104" s="299"/>
      <c r="R104" s="299"/>
      <c r="S104" s="299"/>
      <c r="T104" s="299"/>
    </row>
    <row r="105" spans="1:20">
      <c r="A105" s="299"/>
      <c r="B105" s="299"/>
      <c r="C105" s="299"/>
      <c r="D105" s="299"/>
      <c r="E105" s="299"/>
      <c r="F105" s="299"/>
      <c r="G105" s="299"/>
      <c r="H105" s="299"/>
      <c r="I105" s="299"/>
      <c r="J105" s="299"/>
      <c r="K105" s="299"/>
      <c r="L105" s="299"/>
      <c r="M105" s="299"/>
      <c r="N105" s="299"/>
      <c r="O105" s="299"/>
      <c r="P105" s="299"/>
      <c r="Q105" s="299"/>
      <c r="R105" s="299"/>
      <c r="S105" s="299"/>
      <c r="T105" s="299"/>
    </row>
    <row r="106" spans="1:20">
      <c r="A106" s="299"/>
      <c r="B106" s="299"/>
      <c r="C106" s="299"/>
      <c r="D106" s="299"/>
      <c r="E106" s="299"/>
      <c r="F106" s="299"/>
      <c r="G106" s="299"/>
      <c r="H106" s="299"/>
      <c r="I106" s="299"/>
      <c r="J106" s="299"/>
      <c r="K106" s="299"/>
      <c r="L106" s="299"/>
      <c r="M106" s="299"/>
      <c r="N106" s="299"/>
      <c r="O106" s="299"/>
      <c r="P106" s="299"/>
      <c r="Q106" s="299"/>
      <c r="R106" s="299"/>
      <c r="S106" s="299"/>
      <c r="T106" s="299"/>
    </row>
    <row r="107" spans="1:20">
      <c r="A107" s="299"/>
      <c r="B107" s="299"/>
      <c r="C107" s="299"/>
      <c r="D107" s="299"/>
      <c r="E107" s="299"/>
      <c r="F107" s="299"/>
      <c r="G107" s="299"/>
      <c r="H107" s="299"/>
      <c r="I107" s="299"/>
      <c r="J107" s="299"/>
      <c r="K107" s="299"/>
      <c r="L107" s="299"/>
      <c r="M107" s="299"/>
      <c r="N107" s="299"/>
      <c r="O107" s="299"/>
      <c r="P107" s="299"/>
      <c r="Q107" s="299"/>
      <c r="R107" s="299"/>
      <c r="S107" s="299"/>
      <c r="T107" s="299"/>
    </row>
    <row r="108" spans="1:20">
      <c r="A108" s="299"/>
      <c r="B108" s="299"/>
      <c r="C108" s="299"/>
      <c r="D108" s="299"/>
      <c r="E108" s="299"/>
      <c r="F108" s="299"/>
      <c r="G108" s="299"/>
      <c r="H108" s="299"/>
      <c r="I108" s="299"/>
      <c r="J108" s="299"/>
      <c r="K108" s="299"/>
      <c r="L108" s="299"/>
      <c r="M108" s="299"/>
      <c r="N108" s="299"/>
      <c r="O108" s="299"/>
      <c r="P108" s="299"/>
      <c r="Q108" s="299"/>
      <c r="R108" s="299"/>
      <c r="S108" s="299"/>
      <c r="T108" s="299"/>
    </row>
    <row r="109" spans="1:20">
      <c r="A109" s="299"/>
      <c r="B109" s="299"/>
      <c r="C109" s="299"/>
      <c r="D109" s="299"/>
      <c r="E109" s="299"/>
      <c r="F109" s="299"/>
      <c r="G109" s="299"/>
      <c r="H109" s="299"/>
      <c r="I109" s="299"/>
      <c r="J109" s="299"/>
      <c r="K109" s="299"/>
      <c r="L109" s="299"/>
      <c r="M109" s="299"/>
      <c r="N109" s="299"/>
      <c r="O109" s="299"/>
      <c r="P109" s="299"/>
      <c r="Q109" s="299"/>
      <c r="R109" s="299"/>
      <c r="S109" s="299"/>
      <c r="T109" s="299"/>
    </row>
  </sheetData>
  <mergeCells count="33">
    <mergeCell ref="A1:C1"/>
    <mergeCell ref="A2:B2"/>
    <mergeCell ref="A3:B3"/>
    <mergeCell ref="A6:A7"/>
    <mergeCell ref="B6:C6"/>
    <mergeCell ref="A5:M5"/>
    <mergeCell ref="D6:G6"/>
    <mergeCell ref="H6:H7"/>
    <mergeCell ref="M6:M7"/>
    <mergeCell ref="I6:I7"/>
    <mergeCell ref="J6:J7"/>
    <mergeCell ref="K6:K7"/>
    <mergeCell ref="L6:L7"/>
    <mergeCell ref="A75:E75"/>
    <mergeCell ref="A38:G38"/>
    <mergeCell ref="A42:E42"/>
    <mergeCell ref="A74:E74"/>
    <mergeCell ref="F42:I42"/>
    <mergeCell ref="A41:I41"/>
    <mergeCell ref="G80:J80"/>
    <mergeCell ref="A80:D80"/>
    <mergeCell ref="A91:D92"/>
    <mergeCell ref="A89:D90"/>
    <mergeCell ref="A87:D88"/>
    <mergeCell ref="F80:F81"/>
    <mergeCell ref="G84:G85"/>
    <mergeCell ref="H84:H85"/>
    <mergeCell ref="G81:H81"/>
    <mergeCell ref="I81:J81"/>
    <mergeCell ref="G82:G83"/>
    <mergeCell ref="H82:H83"/>
    <mergeCell ref="I82:I83"/>
    <mergeCell ref="J82:J83"/>
  </mergeCells>
  <hyperlinks>
    <hyperlink ref="A94" r:id="rId1" xr:uid="{5B5EA329-0186-436C-8DE2-3A45BF366D5E}"/>
  </hyperlinks>
  <pageMargins left="0.25" right="0.25" top="0.75" bottom="0.75" header="0.3" footer="0.3"/>
  <pageSetup paperSize="3" scale="9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Z51"/>
  <sheetViews>
    <sheetView tabSelected="1" zoomScaleNormal="100" workbookViewId="0">
      <selection activeCell="B3" sqref="B3:C3"/>
    </sheetView>
  </sheetViews>
  <sheetFormatPr defaultRowHeight="12.75"/>
  <cols>
    <col min="2" max="2" width="10.28515625" customWidth="1"/>
    <col min="3" max="3" width="11.28515625" bestFit="1" customWidth="1"/>
    <col min="4" max="4" width="18.85546875" customWidth="1"/>
    <col min="5" max="5" width="21" customWidth="1"/>
    <col min="6" max="6" width="22.42578125" customWidth="1"/>
    <col min="7" max="7" width="25" bestFit="1" customWidth="1"/>
    <col min="8" max="8" width="20.140625" bestFit="1" customWidth="1"/>
  </cols>
  <sheetData>
    <row r="1" spans="1:26">
      <c r="A1" s="299"/>
      <c r="B1" s="299"/>
      <c r="C1" s="299"/>
      <c r="D1" s="299"/>
      <c r="E1" s="299"/>
      <c r="F1" s="299"/>
      <c r="G1" s="299"/>
      <c r="H1" s="299"/>
      <c r="I1" s="299"/>
      <c r="J1" s="299"/>
      <c r="K1" s="299"/>
      <c r="L1" s="299"/>
      <c r="M1" s="299"/>
      <c r="N1" s="299"/>
      <c r="O1" s="299"/>
      <c r="P1" s="299"/>
      <c r="Q1" s="299"/>
      <c r="R1" s="299"/>
      <c r="S1" s="299"/>
      <c r="T1" s="299"/>
      <c r="U1" s="299"/>
      <c r="V1" s="299"/>
      <c r="W1" s="299"/>
      <c r="X1" s="299"/>
      <c r="Y1" s="299"/>
      <c r="Z1" s="299"/>
    </row>
    <row r="2" spans="1:26" ht="32.25" customHeight="1" thickBot="1">
      <c r="A2" s="299"/>
      <c r="B2" s="589" t="s">
        <v>26</v>
      </c>
      <c r="C2" s="589"/>
      <c r="D2" s="566" t="s">
        <v>27</v>
      </c>
      <c r="E2" s="566" t="s">
        <v>28</v>
      </c>
      <c r="F2" s="566" t="s">
        <v>29</v>
      </c>
      <c r="G2" s="566" t="s">
        <v>30</v>
      </c>
      <c r="H2" s="566" t="s">
        <v>31</v>
      </c>
      <c r="I2" s="299"/>
      <c r="J2" s="299"/>
      <c r="K2" s="299"/>
      <c r="L2" s="299"/>
      <c r="M2" s="299"/>
      <c r="N2" s="299"/>
      <c r="O2" s="299"/>
      <c r="P2" s="299"/>
      <c r="Q2" s="299"/>
      <c r="R2" s="299"/>
      <c r="S2" s="299"/>
      <c r="T2" s="299"/>
      <c r="U2" s="299"/>
      <c r="V2" s="299"/>
      <c r="W2" s="299"/>
      <c r="X2" s="299"/>
      <c r="Y2" s="299"/>
      <c r="Z2" s="299"/>
    </row>
    <row r="3" spans="1:26" ht="62.25" customHeight="1" thickTop="1">
      <c r="A3" s="299"/>
      <c r="B3" s="590" t="str">
        <f>'Summary Table'!A1</f>
        <v>2024 BCA SUMMARY - McC</v>
      </c>
      <c r="C3" s="591"/>
      <c r="D3" s="21">
        <f>Costs!C3</f>
        <v>39900000</v>
      </c>
      <c r="E3" s="21">
        <f>'Summary Table'!T47</f>
        <v>29453933.541484695</v>
      </c>
      <c r="F3" s="21">
        <f>'Summary Table'!M47</f>
        <v>181775249.85914367</v>
      </c>
      <c r="G3" s="21">
        <f>'Summary Table'!N47</f>
        <v>91214979.665809274</v>
      </c>
      <c r="H3" s="22">
        <f>'Summary Table'!C4</f>
        <v>3.096869202116471</v>
      </c>
      <c r="I3" s="299"/>
      <c r="J3" s="299"/>
      <c r="K3" s="299"/>
      <c r="L3" s="299"/>
      <c r="M3" s="299"/>
      <c r="N3" s="299"/>
      <c r="O3" s="299"/>
      <c r="P3" s="299"/>
      <c r="Q3" s="299"/>
      <c r="R3" s="299"/>
      <c r="S3" s="299"/>
      <c r="T3" s="299"/>
      <c r="U3" s="299"/>
      <c r="V3" s="299"/>
      <c r="W3" s="299"/>
      <c r="X3" s="299"/>
      <c r="Y3" s="299"/>
      <c r="Z3" s="299"/>
    </row>
    <row r="4" spans="1:26">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row>
    <row r="5" spans="1:26">
      <c r="A5" s="299"/>
      <c r="B5" s="299"/>
      <c r="C5" s="299"/>
      <c r="D5" s="299"/>
      <c r="E5" s="299"/>
      <c r="F5" s="299"/>
      <c r="G5" s="299"/>
      <c r="H5" s="299"/>
      <c r="I5" s="299"/>
      <c r="J5" s="299"/>
      <c r="K5" s="299"/>
      <c r="L5" s="299"/>
      <c r="M5" s="299"/>
      <c r="N5" s="299"/>
      <c r="O5" s="299"/>
      <c r="P5" s="299"/>
      <c r="Q5" s="299"/>
      <c r="R5" s="299"/>
      <c r="S5" s="299"/>
      <c r="T5" s="299"/>
      <c r="U5" s="299"/>
      <c r="V5" s="299"/>
      <c r="W5" s="299"/>
      <c r="X5" s="299"/>
      <c r="Y5" s="299"/>
      <c r="Z5" s="299"/>
    </row>
    <row r="6" spans="1:26" ht="15.75">
      <c r="A6" s="299"/>
      <c r="B6" s="469"/>
      <c r="C6" s="299"/>
      <c r="D6" s="474"/>
      <c r="E6" s="476"/>
      <c r="F6" s="299"/>
      <c r="G6" s="466"/>
      <c r="H6" s="309"/>
      <c r="I6" s="309"/>
      <c r="J6" s="309"/>
      <c r="K6" s="309"/>
      <c r="L6" s="299"/>
      <c r="M6" s="299"/>
      <c r="N6" s="299"/>
      <c r="O6" s="299"/>
      <c r="P6" s="299"/>
      <c r="Q6" s="299"/>
      <c r="R6" s="299"/>
      <c r="S6" s="299"/>
      <c r="T6" s="299"/>
      <c r="U6" s="299"/>
      <c r="V6" s="299"/>
      <c r="W6" s="299"/>
      <c r="X6" s="299"/>
      <c r="Y6" s="299"/>
      <c r="Z6" s="299"/>
    </row>
    <row r="7" spans="1:26" ht="15.75">
      <c r="A7" s="299"/>
      <c r="B7" s="469"/>
      <c r="C7" s="299"/>
      <c r="D7" s="299"/>
      <c r="E7" s="308"/>
      <c r="F7" s="299"/>
      <c r="G7" s="299"/>
      <c r="H7" s="309"/>
      <c r="I7" s="346"/>
      <c r="J7" s="346"/>
      <c r="K7" s="309"/>
      <c r="L7" s="299"/>
      <c r="M7" s="299"/>
      <c r="N7" s="299"/>
      <c r="O7" s="299"/>
      <c r="P7" s="299"/>
      <c r="Q7" s="299"/>
      <c r="R7" s="299"/>
      <c r="S7" s="299"/>
      <c r="T7" s="299"/>
      <c r="U7" s="299"/>
      <c r="V7" s="299"/>
      <c r="W7" s="299"/>
      <c r="X7" s="299"/>
      <c r="Y7" s="299"/>
      <c r="Z7" s="299"/>
    </row>
    <row r="8" spans="1:26" ht="15.75">
      <c r="A8" s="299"/>
      <c r="B8" s="299"/>
      <c r="C8" s="299"/>
      <c r="D8" s="299"/>
      <c r="E8" s="299"/>
      <c r="F8" s="299"/>
      <c r="G8" s="299"/>
      <c r="H8" s="309"/>
      <c r="I8" s="346"/>
      <c r="J8" s="346"/>
      <c r="K8" s="309"/>
      <c r="L8" s="299"/>
      <c r="M8" s="299"/>
      <c r="N8" s="299"/>
      <c r="O8" s="299"/>
      <c r="P8" s="299"/>
      <c r="Q8" s="299"/>
      <c r="R8" s="299"/>
      <c r="S8" s="299"/>
      <c r="T8" s="299"/>
      <c r="U8" s="299"/>
      <c r="V8" s="299"/>
      <c r="W8" s="299"/>
      <c r="X8" s="299"/>
      <c r="Y8" s="299"/>
      <c r="Z8" s="299"/>
    </row>
    <row r="9" spans="1:26">
      <c r="A9" s="299"/>
      <c r="B9" s="299"/>
      <c r="C9" s="299"/>
      <c r="D9" s="299"/>
      <c r="E9" s="299"/>
      <c r="F9" s="299"/>
      <c r="G9" s="467"/>
      <c r="H9" s="309"/>
      <c r="I9" s="309"/>
      <c r="J9" s="309"/>
      <c r="K9" s="309"/>
      <c r="L9" s="299"/>
      <c r="M9" s="299"/>
      <c r="N9" s="299"/>
      <c r="O9" s="299"/>
      <c r="P9" s="299"/>
      <c r="Q9" s="299"/>
      <c r="R9" s="299"/>
      <c r="S9" s="299"/>
      <c r="T9" s="299"/>
      <c r="U9" s="299"/>
      <c r="V9" s="299"/>
      <c r="W9" s="299"/>
      <c r="X9" s="299"/>
      <c r="Y9" s="299"/>
      <c r="Z9" s="299"/>
    </row>
    <row r="10" spans="1:26" ht="15.75" hidden="1">
      <c r="A10" s="299"/>
      <c r="B10" s="472"/>
      <c r="C10" s="299"/>
      <c r="D10" s="475" t="s">
        <v>32</v>
      </c>
      <c r="E10" s="592" t="s">
        <v>33</v>
      </c>
      <c r="F10" s="592"/>
      <c r="G10" s="467"/>
      <c r="H10" s="309"/>
      <c r="I10" s="309"/>
      <c r="J10" s="309"/>
      <c r="K10" s="309"/>
      <c r="L10" s="299"/>
      <c r="M10" s="299"/>
      <c r="N10" s="299"/>
      <c r="O10" s="299"/>
      <c r="P10" s="299"/>
      <c r="Q10" s="299"/>
      <c r="R10" s="299"/>
      <c r="S10" s="299"/>
      <c r="T10" s="299"/>
      <c r="U10" s="299"/>
      <c r="V10" s="299"/>
      <c r="W10" s="299"/>
      <c r="X10" s="299"/>
      <c r="Y10" s="299"/>
      <c r="Z10" s="299"/>
    </row>
    <row r="11" spans="1:26" hidden="1">
      <c r="A11" s="299"/>
      <c r="B11" s="299"/>
      <c r="C11" s="299"/>
      <c r="D11" s="470"/>
      <c r="E11" s="299"/>
      <c r="F11" s="308"/>
      <c r="G11" s="467"/>
      <c r="H11" s="299"/>
      <c r="I11" s="299"/>
      <c r="J11" s="299"/>
      <c r="K11" s="299"/>
      <c r="L11" s="299"/>
      <c r="M11" s="299"/>
      <c r="N11" s="299"/>
      <c r="O11" s="299"/>
      <c r="P11" s="299"/>
      <c r="Q11" s="299"/>
      <c r="R11" s="299"/>
      <c r="S11" s="299"/>
      <c r="T11" s="299"/>
      <c r="U11" s="299"/>
      <c r="V11" s="299"/>
      <c r="W11" s="299"/>
      <c r="X11" s="299"/>
      <c r="Y11" s="299"/>
      <c r="Z11" s="299"/>
    </row>
    <row r="12" spans="1:26" hidden="1">
      <c r="A12" s="299"/>
      <c r="B12" s="299"/>
      <c r="C12" s="299"/>
      <c r="D12" s="470" t="s">
        <v>34</v>
      </c>
      <c r="E12" s="471">
        <f>SUM('TT &amp; OS'!G11:G40)</f>
        <v>384784.93085298198</v>
      </c>
      <c r="F12" s="308" t="s">
        <v>35</v>
      </c>
      <c r="G12" s="299"/>
      <c r="H12" s="299"/>
      <c r="I12" s="299"/>
      <c r="J12" s="299"/>
      <c r="K12" s="299"/>
      <c r="L12" s="299"/>
      <c r="M12" s="299"/>
      <c r="N12" s="299"/>
      <c r="O12" s="299"/>
      <c r="P12" s="299"/>
      <c r="Q12" s="299"/>
      <c r="R12" s="299"/>
      <c r="S12" s="299"/>
      <c r="T12" s="299"/>
      <c r="U12" s="299"/>
      <c r="V12" s="299"/>
      <c r="W12" s="299"/>
      <c r="X12" s="299"/>
      <c r="Y12" s="299"/>
      <c r="Z12" s="299"/>
    </row>
    <row r="13" spans="1:26" hidden="1">
      <c r="A13" s="299"/>
      <c r="B13" s="299"/>
      <c r="C13" s="299"/>
      <c r="D13" s="470" t="s">
        <v>36</v>
      </c>
      <c r="E13" s="478">
        <f>E12*'TT &amp; OS'!$A$141</f>
        <v>13736822.031451458</v>
      </c>
      <c r="F13" s="299"/>
      <c r="G13" s="299"/>
      <c r="H13" s="299"/>
      <c r="I13" s="299"/>
      <c r="J13" s="299"/>
      <c r="K13" s="299"/>
      <c r="L13" s="299"/>
      <c r="M13" s="299"/>
      <c r="N13" s="299"/>
      <c r="O13" s="299"/>
      <c r="P13" s="299"/>
      <c r="Q13" s="299"/>
      <c r="R13" s="299"/>
      <c r="S13" s="299"/>
      <c r="T13" s="299"/>
      <c r="U13" s="299"/>
      <c r="V13" s="299"/>
      <c r="W13" s="299"/>
      <c r="X13" s="299"/>
      <c r="Y13" s="299"/>
      <c r="Z13" s="299"/>
    </row>
    <row r="14" spans="1:26" hidden="1">
      <c r="A14" s="299"/>
      <c r="B14" s="299"/>
      <c r="C14" s="299"/>
      <c r="D14" s="470" t="s">
        <v>37</v>
      </c>
      <c r="E14" s="478">
        <f>'TT &amp; OS'!P41</f>
        <v>0</v>
      </c>
      <c r="F14" s="299"/>
      <c r="G14" s="299"/>
      <c r="H14" s="299"/>
      <c r="I14" s="299"/>
      <c r="J14" s="299"/>
      <c r="K14" s="299"/>
      <c r="L14" s="299"/>
      <c r="M14" s="299"/>
      <c r="N14" s="299"/>
      <c r="O14" s="299"/>
      <c r="P14" s="299"/>
      <c r="Q14" s="299"/>
      <c r="R14" s="299"/>
      <c r="S14" s="299"/>
      <c r="T14" s="299"/>
      <c r="U14" s="299"/>
      <c r="V14" s="299"/>
      <c r="W14" s="299"/>
      <c r="X14" s="299"/>
      <c r="Y14" s="299"/>
      <c r="Z14" s="299"/>
    </row>
    <row r="15" spans="1:26" hidden="1">
      <c r="A15" s="299"/>
      <c r="B15" s="299"/>
      <c r="C15" s="299"/>
      <c r="D15" s="470" t="s">
        <v>38</v>
      </c>
      <c r="E15" s="480">
        <f>E14/G3</f>
        <v>0</v>
      </c>
      <c r="F15" s="470"/>
      <c r="G15" s="299"/>
      <c r="H15" s="299"/>
      <c r="I15" s="299"/>
      <c r="J15" s="299"/>
      <c r="K15" s="299"/>
      <c r="L15" s="299"/>
      <c r="M15" s="299"/>
      <c r="N15" s="299"/>
      <c r="O15" s="299"/>
      <c r="P15" s="299"/>
      <c r="Q15" s="299"/>
      <c r="R15" s="299"/>
      <c r="S15" s="299"/>
      <c r="T15" s="299"/>
      <c r="U15" s="299"/>
      <c r="V15" s="299"/>
      <c r="W15" s="299"/>
      <c r="X15" s="299"/>
      <c r="Y15" s="299"/>
      <c r="Z15" s="299"/>
    </row>
    <row r="16" spans="1:26">
      <c r="A16" s="299"/>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row>
    <row r="17" spans="1:26">
      <c r="A17" s="299"/>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row>
    <row r="18" spans="1:26">
      <c r="A18" s="299"/>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row>
    <row r="19" spans="1:26">
      <c r="A19" s="299"/>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row>
    <row r="20" spans="1:26">
      <c r="A20" s="299"/>
      <c r="B20" s="299"/>
      <c r="C20" s="299"/>
      <c r="D20" s="470"/>
      <c r="E20" s="299"/>
      <c r="F20" s="308"/>
      <c r="G20" s="299"/>
      <c r="H20" s="299"/>
      <c r="I20" s="299"/>
      <c r="J20" s="299"/>
      <c r="K20" s="299"/>
      <c r="L20" s="299"/>
      <c r="M20" s="299"/>
      <c r="N20" s="299"/>
      <c r="O20" s="299"/>
      <c r="P20" s="299"/>
      <c r="Q20" s="299"/>
      <c r="R20" s="299"/>
      <c r="S20" s="299"/>
      <c r="T20" s="299"/>
      <c r="U20" s="299"/>
      <c r="V20" s="299"/>
      <c r="W20" s="299"/>
      <c r="X20" s="299"/>
      <c r="Y20" s="299"/>
      <c r="Z20" s="299"/>
    </row>
    <row r="21" spans="1:26">
      <c r="A21" s="299"/>
      <c r="B21" s="299"/>
      <c r="C21" s="299"/>
      <c r="D21" s="470"/>
      <c r="E21" s="299"/>
      <c r="F21" s="299"/>
      <c r="G21" s="299"/>
      <c r="H21" s="299"/>
      <c r="I21" s="299"/>
      <c r="J21" s="299"/>
      <c r="K21" s="299"/>
      <c r="L21" s="299"/>
      <c r="M21" s="299"/>
      <c r="N21" s="299"/>
      <c r="O21" s="299"/>
      <c r="P21" s="299"/>
      <c r="Q21" s="299"/>
      <c r="R21" s="299"/>
      <c r="S21" s="299"/>
      <c r="T21" s="299"/>
      <c r="U21" s="299"/>
      <c r="V21" s="299"/>
      <c r="W21" s="299"/>
      <c r="X21" s="299"/>
      <c r="Y21" s="299"/>
      <c r="Z21" s="299"/>
    </row>
    <row r="22" spans="1:26">
      <c r="A22" s="299"/>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row>
    <row r="23" spans="1:26">
      <c r="A23" s="299"/>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row>
    <row r="24" spans="1:26">
      <c r="A24" s="299"/>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row>
    <row r="25" spans="1:26">
      <c r="A25" s="299"/>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row>
    <row r="26" spans="1:26">
      <c r="A26" s="299"/>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row>
    <row r="27" spans="1:26">
      <c r="A27" s="299"/>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row>
    <row r="28" spans="1:26">
      <c r="A28" s="299"/>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row>
    <row r="29" spans="1:26">
      <c r="A29" s="299"/>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row>
    <row r="30" spans="1:26">
      <c r="A30" s="299"/>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row>
    <row r="31" spans="1:26">
      <c r="A31" s="299"/>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row>
    <row r="32" spans="1:26">
      <c r="A32" s="299"/>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row>
    <row r="33" spans="1:26">
      <c r="A33" s="299"/>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row>
    <row r="34" spans="1:26">
      <c r="A34" s="299"/>
      <c r="B34" s="299"/>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9"/>
    </row>
    <row r="35" spans="1:26">
      <c r="A35" s="299"/>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row>
    <row r="36" spans="1:26">
      <c r="A36" s="299"/>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row>
    <row r="37" spans="1:26">
      <c r="A37" s="299"/>
      <c r="B37" s="299"/>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row>
    <row r="38" spans="1:26">
      <c r="A38" s="299"/>
      <c r="B38" s="299"/>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row>
    <row r="39" spans="1:26">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row>
    <row r="40" spans="1:26">
      <c r="A40" s="299"/>
      <c r="B40" s="299"/>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Z40" s="299"/>
    </row>
    <row r="41" spans="1:26">
      <c r="A41" s="299"/>
      <c r="B41" s="299"/>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row>
    <row r="42" spans="1:26">
      <c r="A42" s="299"/>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row>
    <row r="43" spans="1:26">
      <c r="A43" s="299"/>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row>
    <row r="44" spans="1:26">
      <c r="A44" s="299"/>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row>
    <row r="45" spans="1:26">
      <c r="A45" s="299"/>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row>
    <row r="46" spans="1:26">
      <c r="A46" s="299"/>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row>
    <row r="47" spans="1:26">
      <c r="A47" s="299"/>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row>
    <row r="48" spans="1:26">
      <c r="A48" s="299"/>
      <c r="B48" s="299"/>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row>
    <row r="49" spans="1:26">
      <c r="A49" s="299"/>
      <c r="B49" s="299"/>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row>
    <row r="50" spans="1:26">
      <c r="A50" s="299"/>
      <c r="B50" s="299"/>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row>
    <row r="51" spans="1:26">
      <c r="B51" s="299"/>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row>
  </sheetData>
  <mergeCells count="3">
    <mergeCell ref="B2:C2"/>
    <mergeCell ref="B3:C3"/>
    <mergeCell ref="E10:F10"/>
  </mergeCells>
  <pageMargins left="0.7" right="0.7" top="0.75" bottom="0.75" header="0.3" footer="0.3"/>
  <pageSetup scale="96"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581F9-3E96-449E-A527-903E83E687E2}">
  <sheetPr>
    <tabColor theme="6"/>
    <pageSetUpPr fitToPage="1"/>
  </sheetPr>
  <dimension ref="A1:AC100"/>
  <sheetViews>
    <sheetView zoomScale="80" zoomScaleNormal="80" workbookViewId="0">
      <selection activeCell="J14" sqref="J14"/>
    </sheetView>
  </sheetViews>
  <sheetFormatPr defaultRowHeight="12.75"/>
  <cols>
    <col min="1" max="1" width="13.85546875" customWidth="1"/>
    <col min="2" max="2" width="16.7109375" customWidth="1"/>
    <col min="3" max="3" width="15.7109375" customWidth="1"/>
    <col min="4" max="4" width="16.140625" bestFit="1" customWidth="1"/>
    <col min="5" max="5" width="14.7109375" customWidth="1"/>
    <col min="6" max="6" width="10.7109375" customWidth="1"/>
    <col min="7" max="7" width="12.42578125" bestFit="1" customWidth="1"/>
    <col min="8" max="8" width="15.5703125" bestFit="1" customWidth="1"/>
    <col min="9" max="10" width="18.7109375" customWidth="1"/>
    <col min="11" max="12" width="17" customWidth="1"/>
    <col min="13" max="13" width="14.28515625" customWidth="1"/>
    <col min="14" max="14" width="15.5703125" customWidth="1"/>
    <col min="15" max="15" width="10.7109375" customWidth="1"/>
    <col min="16" max="16" width="12.85546875" customWidth="1"/>
    <col min="17" max="17" width="12.5703125" customWidth="1"/>
    <col min="18" max="18" width="13.7109375" customWidth="1"/>
    <col min="19" max="19" width="14" customWidth="1"/>
    <col min="20" max="20" width="13.7109375" customWidth="1"/>
    <col min="21" max="27" width="10.7109375" customWidth="1"/>
  </cols>
  <sheetData>
    <row r="1" spans="1:29" ht="23.25">
      <c r="A1" s="338" t="s">
        <v>39</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row>
    <row r="2" spans="1:29" ht="18.75">
      <c r="A2" s="339"/>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row>
    <row r="3" spans="1:29" ht="18" customHeight="1">
      <c r="A3" s="593" t="s">
        <v>40</v>
      </c>
      <c r="B3" s="594"/>
      <c r="C3" s="594"/>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row>
    <row r="4" spans="1:29" ht="20.25" customHeight="1">
      <c r="A4" s="595" t="s">
        <v>41</v>
      </c>
      <c r="B4" s="595"/>
      <c r="C4" s="58">
        <f>N47/T47</f>
        <v>3.096869202116471</v>
      </c>
      <c r="D4" s="307"/>
      <c r="E4" s="299"/>
      <c r="F4" s="299"/>
      <c r="G4" s="299"/>
      <c r="H4" s="299"/>
      <c r="I4" s="299"/>
      <c r="J4" s="299"/>
      <c r="K4" s="299"/>
      <c r="L4" s="299"/>
      <c r="M4" s="299"/>
      <c r="N4" s="299"/>
      <c r="O4" s="299"/>
      <c r="P4" s="299"/>
      <c r="Q4" s="299"/>
      <c r="R4" s="299"/>
      <c r="S4" s="299"/>
      <c r="T4" s="299"/>
      <c r="U4" s="299"/>
      <c r="V4" s="299"/>
      <c r="W4" s="299"/>
      <c r="X4" s="299"/>
      <c r="Y4" s="299"/>
      <c r="Z4" s="299"/>
      <c r="AA4" s="299"/>
      <c r="AB4" s="299"/>
      <c r="AC4" s="299"/>
    </row>
    <row r="5" spans="1:29" ht="18" customHeight="1">
      <c r="A5" s="596" t="s">
        <v>42</v>
      </c>
      <c r="B5" s="596"/>
      <c r="C5" s="56">
        <f>IRR(D12:D46)</f>
        <v>9.3536137661166752E-2</v>
      </c>
      <c r="D5" s="307"/>
      <c r="E5" s="299"/>
      <c r="F5" s="299"/>
      <c r="G5" s="299"/>
      <c r="H5" s="299"/>
      <c r="I5" s="299"/>
      <c r="J5" s="299"/>
      <c r="K5" s="299"/>
      <c r="L5" s="299"/>
      <c r="M5" s="299"/>
      <c r="N5" s="299"/>
      <c r="O5" s="299"/>
      <c r="P5" s="299"/>
      <c r="Q5" s="299"/>
      <c r="R5" s="299"/>
      <c r="S5" s="299"/>
      <c r="T5" s="299"/>
      <c r="U5" s="299"/>
      <c r="V5" s="299"/>
      <c r="W5" s="299"/>
      <c r="X5" s="299"/>
      <c r="Y5" s="299"/>
      <c r="Z5" s="299"/>
      <c r="AA5" s="299"/>
      <c r="AB5" s="299"/>
      <c r="AC5" s="299"/>
    </row>
    <row r="6" spans="1:29" ht="18" customHeight="1">
      <c r="A6" s="596" t="s">
        <v>43</v>
      </c>
      <c r="B6" s="596"/>
      <c r="C6" s="57">
        <f>N47-T47</f>
        <v>61761046.124324575</v>
      </c>
      <c r="D6" s="307"/>
      <c r="E6" s="299"/>
      <c r="F6" s="299"/>
      <c r="G6" s="299"/>
      <c r="H6" s="299"/>
      <c r="I6" s="299"/>
      <c r="J6" s="299"/>
      <c r="K6" s="299"/>
      <c r="L6" s="299"/>
      <c r="M6" s="299"/>
      <c r="N6" s="299"/>
      <c r="O6" s="299"/>
      <c r="P6" s="299"/>
      <c r="Q6" s="299"/>
      <c r="R6" s="299"/>
      <c r="S6" s="299"/>
      <c r="T6" s="299"/>
      <c r="U6" s="299"/>
      <c r="V6" s="299"/>
      <c r="W6" s="299"/>
      <c r="X6" s="299"/>
      <c r="Y6" s="299"/>
      <c r="Z6" s="299"/>
      <c r="AA6" s="299"/>
      <c r="AB6" s="299"/>
      <c r="AC6" s="299"/>
    </row>
    <row r="7" spans="1:29" ht="18" customHeight="1">
      <c r="A7" s="596" t="s">
        <v>44</v>
      </c>
      <c r="B7" s="596"/>
      <c r="C7" s="446">
        <v>3.1E-2</v>
      </c>
      <c r="D7" s="307"/>
      <c r="E7" s="299"/>
      <c r="F7" s="299"/>
      <c r="G7" s="299"/>
      <c r="H7" s="299"/>
      <c r="I7" s="299"/>
      <c r="J7" s="299"/>
      <c r="K7" s="299"/>
      <c r="L7" s="299"/>
      <c r="M7" s="299"/>
      <c r="N7" s="299"/>
      <c r="O7" s="299"/>
      <c r="P7" s="299"/>
      <c r="Q7" s="299"/>
      <c r="R7" s="299"/>
      <c r="S7" s="299"/>
      <c r="T7" s="299"/>
      <c r="U7" s="299"/>
      <c r="V7" s="299"/>
      <c r="W7" s="299"/>
      <c r="X7" s="299"/>
      <c r="Y7" s="299"/>
      <c r="Z7" s="299"/>
      <c r="AA7" s="299"/>
      <c r="AB7" s="299"/>
      <c r="AC7" s="299"/>
    </row>
    <row r="8" spans="1:29">
      <c r="A8" s="299"/>
      <c r="B8" s="299"/>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row>
    <row r="9" spans="1:29" ht="14.45" customHeight="1">
      <c r="A9" s="599" t="s">
        <v>45</v>
      </c>
      <c r="B9" s="600"/>
      <c r="C9" s="600"/>
      <c r="D9" s="600"/>
      <c r="E9" s="601"/>
      <c r="F9" s="299"/>
      <c r="G9" s="597" t="s">
        <v>46</v>
      </c>
      <c r="H9" s="597"/>
      <c r="I9" s="597"/>
      <c r="J9" s="597"/>
      <c r="K9" s="597"/>
      <c r="L9" s="597"/>
      <c r="M9" s="597"/>
      <c r="N9" s="597"/>
      <c r="O9" s="299"/>
      <c r="P9" s="599" t="s">
        <v>47</v>
      </c>
      <c r="Q9" s="600"/>
      <c r="R9" s="600"/>
      <c r="S9" s="600"/>
      <c r="T9" s="601"/>
      <c r="U9" s="299"/>
      <c r="V9" s="299"/>
      <c r="W9" s="299"/>
      <c r="X9" s="299"/>
      <c r="Y9" s="299"/>
      <c r="Z9" s="299"/>
      <c r="AA9" s="299"/>
      <c r="AB9" s="299"/>
      <c r="AC9" s="299"/>
    </row>
    <row r="10" spans="1:29" ht="14.45" customHeight="1">
      <c r="A10" s="602"/>
      <c r="B10" s="603"/>
      <c r="C10" s="603"/>
      <c r="D10" s="603"/>
      <c r="E10" s="604"/>
      <c r="F10" s="299"/>
      <c r="G10" s="605" t="s">
        <v>48</v>
      </c>
      <c r="H10" s="607" t="s">
        <v>49</v>
      </c>
      <c r="I10" s="608"/>
      <c r="J10" s="609" t="s">
        <v>23</v>
      </c>
      <c r="K10" s="607" t="s">
        <v>50</v>
      </c>
      <c r="L10" s="608"/>
      <c r="M10" s="597" t="s">
        <v>51</v>
      </c>
      <c r="N10" s="597" t="s">
        <v>52</v>
      </c>
      <c r="O10" s="299"/>
      <c r="P10" s="602"/>
      <c r="Q10" s="603"/>
      <c r="R10" s="603"/>
      <c r="S10" s="603"/>
      <c r="T10" s="604"/>
      <c r="U10" s="299"/>
      <c r="V10" s="299"/>
      <c r="W10" s="299"/>
      <c r="X10" s="299"/>
      <c r="Y10" s="299"/>
      <c r="Z10" s="299"/>
      <c r="AA10" s="299"/>
      <c r="AB10" s="299"/>
      <c r="AC10" s="299"/>
    </row>
    <row r="11" spans="1:29" ht="42" customHeight="1" thickBot="1">
      <c r="A11" s="581" t="s">
        <v>48</v>
      </c>
      <c r="B11" s="581" t="s">
        <v>53</v>
      </c>
      <c r="C11" s="581" t="s">
        <v>54</v>
      </c>
      <c r="D11" s="581" t="s">
        <v>55</v>
      </c>
      <c r="E11" s="581" t="s">
        <v>56</v>
      </c>
      <c r="F11" s="299"/>
      <c r="G11" s="606"/>
      <c r="H11" s="581" t="s">
        <v>57</v>
      </c>
      <c r="I11" s="581" t="s">
        <v>58</v>
      </c>
      <c r="J11" s="610"/>
      <c r="K11" s="581" t="s">
        <v>59</v>
      </c>
      <c r="L11" s="581" t="s">
        <v>60</v>
      </c>
      <c r="M11" s="598"/>
      <c r="N11" s="598"/>
      <c r="O11" s="299"/>
      <c r="P11" s="581" t="s">
        <v>48</v>
      </c>
      <c r="Q11" s="581" t="s">
        <v>27</v>
      </c>
      <c r="R11" s="581" t="s">
        <v>61</v>
      </c>
      <c r="S11" s="581" t="s">
        <v>62</v>
      </c>
      <c r="T11" s="581" t="s">
        <v>63</v>
      </c>
      <c r="U11" s="299"/>
      <c r="V11" s="299"/>
      <c r="W11" s="299"/>
      <c r="X11" s="299"/>
      <c r="Y11" s="299"/>
      <c r="Z11" s="299"/>
      <c r="AA11" s="299"/>
      <c r="AB11" s="299"/>
      <c r="AC11" s="299"/>
    </row>
    <row r="12" spans="1:29" ht="13.5" thickTop="1">
      <c r="A12" s="19">
        <v>2029</v>
      </c>
      <c r="B12" s="376">
        <f t="shared" ref="B12:B46" si="0">T12</f>
        <v>0</v>
      </c>
      <c r="C12" s="377">
        <f t="shared" ref="C12:C46" si="1">N12</f>
        <v>0</v>
      </c>
      <c r="D12" s="376">
        <f t="shared" ref="D12:D46" si="2">C12-B12</f>
        <v>0</v>
      </c>
      <c r="E12" s="378">
        <f>D12</f>
        <v>0</v>
      </c>
      <c r="F12" s="299"/>
      <c r="G12" s="19">
        <v>2029</v>
      </c>
      <c r="H12" s="370"/>
      <c r="I12" s="360"/>
      <c r="J12" s="360"/>
      <c r="K12" s="361"/>
      <c r="L12" s="360"/>
      <c r="M12" s="360"/>
      <c r="N12" s="361"/>
      <c r="O12" s="299"/>
      <c r="P12" s="19">
        <v>2029</v>
      </c>
      <c r="Q12" s="387">
        <f>Costs!G6</f>
        <v>0</v>
      </c>
      <c r="R12" s="388">
        <f>Costs!H6</f>
        <v>0</v>
      </c>
      <c r="S12" s="387">
        <f t="shared" ref="S12:S46" si="3">+Q12+R12</f>
        <v>0</v>
      </c>
      <c r="T12" s="388">
        <f>S12*NPV!C9</f>
        <v>0</v>
      </c>
      <c r="U12" s="299"/>
      <c r="V12" s="299"/>
      <c r="W12" s="299"/>
      <c r="X12" s="299"/>
      <c r="Y12" s="299"/>
      <c r="Z12" s="299"/>
      <c r="AA12" s="299"/>
      <c r="AB12" s="299"/>
      <c r="AC12" s="299"/>
    </row>
    <row r="13" spans="1:29">
      <c r="A13" s="19">
        <f>A12+1</f>
        <v>2030</v>
      </c>
      <c r="B13" s="376">
        <f t="shared" si="0"/>
        <v>0</v>
      </c>
      <c r="C13" s="377">
        <f t="shared" si="1"/>
        <v>0</v>
      </c>
      <c r="D13" s="376">
        <f t="shared" si="2"/>
        <v>0</v>
      </c>
      <c r="E13" s="379">
        <f>D13+E12</f>
        <v>0</v>
      </c>
      <c r="F13" s="299"/>
      <c r="G13" s="19">
        <f>G12+1</f>
        <v>2030</v>
      </c>
      <c r="H13" s="370"/>
      <c r="I13" s="360"/>
      <c r="J13" s="360"/>
      <c r="K13" s="361"/>
      <c r="L13" s="360"/>
      <c r="M13" s="360"/>
      <c r="N13" s="361"/>
      <c r="O13" s="299"/>
      <c r="P13" s="19">
        <f>P12+1</f>
        <v>2030</v>
      </c>
      <c r="Q13" s="387">
        <f>Costs!G7</f>
        <v>0</v>
      </c>
      <c r="R13" s="388">
        <f>Costs!H9</f>
        <v>0</v>
      </c>
      <c r="S13" s="387">
        <f t="shared" si="3"/>
        <v>0</v>
      </c>
      <c r="T13" s="388">
        <f>S13*NPV!C10</f>
        <v>0</v>
      </c>
      <c r="U13" s="299"/>
      <c r="V13" s="299"/>
      <c r="W13" s="299"/>
      <c r="X13" s="299"/>
      <c r="Y13" s="299"/>
      <c r="Z13" s="299"/>
      <c r="AA13" s="299"/>
      <c r="AB13" s="299"/>
      <c r="AC13" s="299"/>
    </row>
    <row r="14" spans="1:29">
      <c r="A14" s="19">
        <f t="shared" ref="A14:A46" si="4">A13+1</f>
        <v>2031</v>
      </c>
      <c r="B14" s="376">
        <f t="shared" si="0"/>
        <v>6250770.7189843683</v>
      </c>
      <c r="C14" s="377">
        <f t="shared" si="1"/>
        <v>0</v>
      </c>
      <c r="D14" s="376">
        <f t="shared" si="2"/>
        <v>-6250770.7189843683</v>
      </c>
      <c r="E14" s="380">
        <f>D14+E13</f>
        <v>-6250770.7189843683</v>
      </c>
      <c r="F14" s="299"/>
      <c r="G14" s="19">
        <f t="shared" ref="G14:G46" si="5">G13+1</f>
        <v>2031</v>
      </c>
      <c r="H14" s="370"/>
      <c r="I14" s="360"/>
      <c r="J14" s="360"/>
      <c r="K14" s="361"/>
      <c r="L14" s="360"/>
      <c r="M14" s="360"/>
      <c r="N14" s="361"/>
      <c r="O14" s="299"/>
      <c r="P14" s="19">
        <f t="shared" ref="P14:P46" si="6">P13+1</f>
        <v>2031</v>
      </c>
      <c r="Q14" s="387">
        <f>Costs!G8</f>
        <v>7980000</v>
      </c>
      <c r="R14" s="388">
        <f>Costs!H10</f>
        <v>0</v>
      </c>
      <c r="S14" s="387">
        <f t="shared" si="3"/>
        <v>7980000</v>
      </c>
      <c r="T14" s="388">
        <f>S14*NPV!C11</f>
        <v>6250770.7189843683</v>
      </c>
      <c r="U14" s="299"/>
      <c r="V14" s="299"/>
      <c r="W14" s="299"/>
      <c r="X14" s="299"/>
      <c r="Y14" s="299"/>
      <c r="Z14" s="299"/>
      <c r="AA14" s="299"/>
      <c r="AB14" s="299"/>
      <c r="AC14" s="299"/>
    </row>
    <row r="15" spans="1:29">
      <c r="A15" s="19">
        <f t="shared" si="4"/>
        <v>2032</v>
      </c>
      <c r="B15" s="376">
        <f t="shared" si="0"/>
        <v>15157057.999477131</v>
      </c>
      <c r="C15" s="377">
        <f t="shared" si="1"/>
        <v>0</v>
      </c>
      <c r="D15" s="376">
        <f t="shared" si="2"/>
        <v>-15157057.999477131</v>
      </c>
      <c r="E15" s="380">
        <f t="shared" ref="E15:E42" si="7">D15+E14</f>
        <v>-21407828.718461499</v>
      </c>
      <c r="F15" s="299"/>
      <c r="G15" s="19">
        <f t="shared" si="5"/>
        <v>2032</v>
      </c>
      <c r="H15" s="370"/>
      <c r="I15" s="360"/>
      <c r="J15" s="360"/>
      <c r="K15" s="361"/>
      <c r="L15" s="360"/>
      <c r="M15" s="360"/>
      <c r="N15" s="361"/>
      <c r="O15" s="299"/>
      <c r="P15" s="19">
        <f t="shared" si="6"/>
        <v>2032</v>
      </c>
      <c r="Q15" s="387">
        <f>Costs!G9</f>
        <v>19950000</v>
      </c>
      <c r="R15" s="388">
        <f>Costs!H11</f>
        <v>0</v>
      </c>
      <c r="S15" s="387">
        <f t="shared" si="3"/>
        <v>19950000</v>
      </c>
      <c r="T15" s="388">
        <f>S15*NPV!C12</f>
        <v>15157057.999477131</v>
      </c>
      <c r="U15" s="299"/>
      <c r="V15" s="299"/>
      <c r="W15" s="299"/>
      <c r="X15" s="299"/>
      <c r="Y15" s="299"/>
      <c r="Z15" s="299"/>
      <c r="AA15" s="299"/>
      <c r="AB15" s="299"/>
      <c r="AC15" s="299"/>
    </row>
    <row r="16" spans="1:29">
      <c r="A16" s="19">
        <f t="shared" si="4"/>
        <v>2033</v>
      </c>
      <c r="B16" s="376">
        <f t="shared" si="0"/>
        <v>8820790.3003746644</v>
      </c>
      <c r="C16" s="377">
        <f t="shared" si="1"/>
        <v>0</v>
      </c>
      <c r="D16" s="376">
        <f t="shared" si="2"/>
        <v>-8820790.3003746644</v>
      </c>
      <c r="E16" s="380">
        <f t="shared" si="7"/>
        <v>-30228619.018836163</v>
      </c>
      <c r="F16" s="299"/>
      <c r="G16" s="19">
        <f t="shared" si="5"/>
        <v>2033</v>
      </c>
      <c r="H16" s="370"/>
      <c r="I16" s="360"/>
      <c r="J16" s="360"/>
      <c r="K16" s="361"/>
      <c r="L16" s="360"/>
      <c r="M16" s="360"/>
      <c r="N16" s="361"/>
      <c r="O16" s="299"/>
      <c r="P16" s="19">
        <f t="shared" si="6"/>
        <v>2033</v>
      </c>
      <c r="Q16" s="387">
        <f>Costs!G10</f>
        <v>11970000</v>
      </c>
      <c r="R16" s="388">
        <f>Costs!H12</f>
        <v>0</v>
      </c>
      <c r="S16" s="387">
        <f t="shared" si="3"/>
        <v>11970000</v>
      </c>
      <c r="T16" s="388">
        <f>S16*NPV!C13</f>
        <v>8820790.3003746644</v>
      </c>
      <c r="U16" s="299"/>
      <c r="V16" s="299"/>
      <c r="W16" s="299"/>
      <c r="X16" s="299"/>
      <c r="Y16" s="299"/>
      <c r="Z16" s="299"/>
      <c r="AA16" s="299"/>
      <c r="AB16" s="299"/>
      <c r="AC16" s="299"/>
    </row>
    <row r="17" spans="1:29">
      <c r="A17" s="19">
        <f t="shared" si="4"/>
        <v>2034</v>
      </c>
      <c r="B17" s="376">
        <f t="shared" si="0"/>
        <v>0</v>
      </c>
      <c r="C17" s="377">
        <f>N17</f>
        <v>3635780.6273093275</v>
      </c>
      <c r="D17" s="376">
        <f t="shared" si="2"/>
        <v>3635780.6273093275</v>
      </c>
      <c r="E17" s="380">
        <f t="shared" si="7"/>
        <v>-26592838.391526837</v>
      </c>
      <c r="F17" s="299"/>
      <c r="G17" s="19">
        <f t="shared" si="5"/>
        <v>2034</v>
      </c>
      <c r="H17" s="370">
        <f>'TT &amp; OS'!H11</f>
        <v>2408332.7819793317</v>
      </c>
      <c r="I17" s="360">
        <f>'TT &amp; OS'!H47</f>
        <v>1484190.8509430853</v>
      </c>
      <c r="J17" s="528">
        <f>Safety!I8</f>
        <v>227025.98533524826</v>
      </c>
      <c r="K17" s="425">
        <f>'Environmental Protection'!I8</f>
        <v>201561</v>
      </c>
      <c r="L17" s="417">
        <f>'Environmental Protection'!H8</f>
        <v>421637</v>
      </c>
      <c r="M17" s="360">
        <f t="shared" ref="M17:M46" si="8">SUM(H17:L17)</f>
        <v>4742747.6182576651</v>
      </c>
      <c r="N17" s="425">
        <f>(SUM(H17:K17)*NPV!C12)+(L17*NPV!K12)</f>
        <v>3635780.6273093275</v>
      </c>
      <c r="O17" s="299"/>
      <c r="P17" s="19">
        <f t="shared" si="6"/>
        <v>2034</v>
      </c>
      <c r="Q17" s="387">
        <f>Costs!G11</f>
        <v>0</v>
      </c>
      <c r="R17" s="388">
        <f>Costs!H13</f>
        <v>0</v>
      </c>
      <c r="S17" s="387">
        <f t="shared" si="3"/>
        <v>0</v>
      </c>
      <c r="T17" s="388">
        <f>S17*NPV!C14</f>
        <v>0</v>
      </c>
      <c r="U17" s="299"/>
      <c r="V17" s="299"/>
      <c r="W17" s="299"/>
      <c r="X17" s="299"/>
      <c r="Y17" s="299"/>
      <c r="Z17" s="299"/>
      <c r="AA17" s="299"/>
      <c r="AB17" s="299"/>
      <c r="AC17" s="299"/>
    </row>
    <row r="18" spans="1:29">
      <c r="A18" s="19">
        <f t="shared" si="4"/>
        <v>2035</v>
      </c>
      <c r="B18" s="376">
        <f t="shared" si="0"/>
        <v>0</v>
      </c>
      <c r="C18" s="377">
        <f t="shared" si="1"/>
        <v>3588855.0278163692</v>
      </c>
      <c r="D18" s="376">
        <f t="shared" si="2"/>
        <v>3588855.0278163692</v>
      </c>
      <c r="E18" s="380">
        <f t="shared" si="7"/>
        <v>-23003983.363710467</v>
      </c>
      <c r="F18" s="299"/>
      <c r="G18" s="19">
        <f t="shared" si="5"/>
        <v>2035</v>
      </c>
      <c r="H18" s="370">
        <f>'TT &amp; OS'!H12</f>
        <v>2445007.9004865638</v>
      </c>
      <c r="I18" s="360">
        <f>'TT &amp; OS'!H48</f>
        <v>1506792.7420742102</v>
      </c>
      <c r="J18" s="528">
        <f>Safety!I9</f>
        <v>230483.23384289374</v>
      </c>
      <c r="K18" s="425">
        <f>'Environmental Protection'!I9</f>
        <v>204630</v>
      </c>
      <c r="L18" s="417">
        <f>'Environmental Protection'!H9</f>
        <v>434087</v>
      </c>
      <c r="M18" s="360">
        <f t="shared" si="8"/>
        <v>4821000.876403668</v>
      </c>
      <c r="N18" s="425">
        <f>(SUM(H18:K18)*NPV!C13)+(L18*NPV!K13)</f>
        <v>3588855.0278163692</v>
      </c>
      <c r="O18" s="299"/>
      <c r="P18" s="19">
        <f t="shared" si="6"/>
        <v>2035</v>
      </c>
      <c r="Q18" s="387">
        <f>Costs!G12</f>
        <v>0</v>
      </c>
      <c r="R18" s="388">
        <f>Costs!H14</f>
        <v>0</v>
      </c>
      <c r="S18" s="387">
        <f t="shared" si="3"/>
        <v>0</v>
      </c>
      <c r="T18" s="388">
        <f>S18*NPV!C15</f>
        <v>0</v>
      </c>
      <c r="U18" s="299"/>
      <c r="V18" s="299"/>
      <c r="W18" s="299"/>
      <c r="X18" s="299"/>
      <c r="Y18" s="299"/>
      <c r="Z18" s="299"/>
      <c r="AA18" s="299"/>
      <c r="AB18" s="299"/>
      <c r="AC18" s="299"/>
    </row>
    <row r="19" spans="1:29">
      <c r="A19" s="19">
        <f t="shared" si="4"/>
        <v>2036</v>
      </c>
      <c r="B19" s="376">
        <f t="shared" si="0"/>
        <v>60113.895234710006</v>
      </c>
      <c r="C19" s="377">
        <f t="shared" si="1"/>
        <v>3542658.9956721598</v>
      </c>
      <c r="D19" s="376">
        <f>C19-B19</f>
        <v>3482545.1004374498</v>
      </c>
      <c r="E19" s="380">
        <f t="shared" si="7"/>
        <v>-19521438.263273016</v>
      </c>
      <c r="F19" s="299"/>
      <c r="G19" s="19">
        <f t="shared" si="5"/>
        <v>2036</v>
      </c>
      <c r="H19" s="370">
        <f>'TT &amp; OS'!H13</f>
        <v>2482241.5233366685</v>
      </c>
      <c r="I19" s="360">
        <f>'TT &amp; OS'!H49</f>
        <v>1529738.8244407838</v>
      </c>
      <c r="J19" s="528">
        <f>Safety!I10</f>
        <v>233993.13080496158</v>
      </c>
      <c r="K19" s="425">
        <f>'Environmental Protection'!I10</f>
        <v>207746</v>
      </c>
      <c r="L19" s="417">
        <f>'Environmental Protection'!H10</f>
        <v>446818</v>
      </c>
      <c r="M19" s="360">
        <f t="shared" si="8"/>
        <v>4900537.4785824139</v>
      </c>
      <c r="N19" s="425">
        <f>(SUM(H19:K19)*NPV!C14)+(L19*NPV!K14)</f>
        <v>3542658.9956721598</v>
      </c>
      <c r="O19" s="299"/>
      <c r="P19" s="19">
        <f t="shared" si="6"/>
        <v>2036</v>
      </c>
      <c r="Q19" s="387">
        <f>Costs!G13</f>
        <v>0</v>
      </c>
      <c r="R19" s="388">
        <f>Costs!H15</f>
        <v>89400</v>
      </c>
      <c r="S19" s="387">
        <f t="shared" si="3"/>
        <v>89400</v>
      </c>
      <c r="T19" s="388">
        <f>S19*NPV!C16</f>
        <v>60113.895234710006</v>
      </c>
      <c r="U19" s="299"/>
      <c r="V19" s="299"/>
      <c r="W19" s="299"/>
      <c r="X19" s="299"/>
      <c r="Y19" s="299"/>
      <c r="Z19" s="299"/>
      <c r="AA19" s="299"/>
      <c r="AB19" s="299"/>
      <c r="AC19" s="299"/>
    </row>
    <row r="20" spans="1:29">
      <c r="A20" s="19">
        <f t="shared" si="4"/>
        <v>2037</v>
      </c>
      <c r="B20" s="376">
        <f t="shared" si="0"/>
        <v>58306.396929883624</v>
      </c>
      <c r="C20" s="377">
        <f t="shared" si="1"/>
        <v>3498406.8368324814</v>
      </c>
      <c r="D20" s="376">
        <f t="shared" si="2"/>
        <v>3440100.439902598</v>
      </c>
      <c r="E20" s="380">
        <f t="shared" si="7"/>
        <v>-16081337.823370418</v>
      </c>
      <c r="F20" s="299"/>
      <c r="G20" s="19">
        <f t="shared" si="5"/>
        <v>2037</v>
      </c>
      <c r="H20" s="370">
        <f>'TT &amp; OS'!H14</f>
        <v>2520042.1556717167</v>
      </c>
      <c r="I20" s="360">
        <f>'TT &amp; OS'!H50</f>
        <v>1553034.3395338084</v>
      </c>
      <c r="J20" s="528">
        <f>Safety!I11</f>
        <v>237556.47797458409</v>
      </c>
      <c r="K20" s="425">
        <f>'Environmental Protection'!I11</f>
        <v>210910</v>
      </c>
      <c r="L20" s="417">
        <f>'Environmental Protection'!H11</f>
        <v>461390</v>
      </c>
      <c r="M20" s="360">
        <f t="shared" si="8"/>
        <v>4982932.9731801096</v>
      </c>
      <c r="N20" s="425">
        <f>(SUM(H20:K20)*NPV!C15)+(L20*NPV!K15)</f>
        <v>3498406.8368324814</v>
      </c>
      <c r="O20" s="299"/>
      <c r="P20" s="19">
        <f t="shared" si="6"/>
        <v>2037</v>
      </c>
      <c r="Q20" s="387">
        <f>Costs!G14</f>
        <v>0</v>
      </c>
      <c r="R20" s="388">
        <f>Costs!H16</f>
        <v>89400</v>
      </c>
      <c r="S20" s="387">
        <f t="shared" si="3"/>
        <v>89400</v>
      </c>
      <c r="T20" s="388">
        <f>S20*NPV!C17</f>
        <v>58306.396929883624</v>
      </c>
      <c r="U20" s="299"/>
      <c r="V20" s="299"/>
      <c r="W20" s="299"/>
      <c r="X20" s="299"/>
      <c r="Y20" s="299"/>
      <c r="Z20" s="299"/>
      <c r="AA20" s="299"/>
      <c r="AB20" s="299"/>
      <c r="AC20" s="299"/>
    </row>
    <row r="21" spans="1:29">
      <c r="A21" s="19">
        <f t="shared" si="4"/>
        <v>2038</v>
      </c>
      <c r="B21" s="376">
        <f t="shared" si="0"/>
        <v>-386257.40701982332</v>
      </c>
      <c r="C21" s="377">
        <f t="shared" si="1"/>
        <v>3453630.0274949977</v>
      </c>
      <c r="D21" s="376">
        <f t="shared" si="2"/>
        <v>3839887.434514821</v>
      </c>
      <c r="E21" s="380">
        <f t="shared" si="7"/>
        <v>-12241450.388855597</v>
      </c>
      <c r="F21" s="299"/>
      <c r="G21" s="19">
        <f t="shared" si="5"/>
        <v>2038</v>
      </c>
      <c r="H21" s="370">
        <f>'TT &amp; OS'!H15</f>
        <v>2558418.4321540324</v>
      </c>
      <c r="I21" s="360">
        <f>'TT &amp; OS'!H51</f>
        <v>1576684.6086637697</v>
      </c>
      <c r="J21" s="528">
        <f>Safety!I12</f>
        <v>241174.08931429958</v>
      </c>
      <c r="K21" s="425">
        <f>'Environmental Protection'!I12</f>
        <v>214122</v>
      </c>
      <c r="L21" s="417">
        <f>'Environmental Protection'!H12</f>
        <v>474724</v>
      </c>
      <c r="M21" s="360">
        <f t="shared" si="8"/>
        <v>5065123.1301321015</v>
      </c>
      <c r="N21" s="425">
        <f>(SUM(H21:K21)*NPV!C16)+(L21*NPV!K16)</f>
        <v>3453630.0274949977</v>
      </c>
      <c r="O21" s="299"/>
      <c r="P21" s="19">
        <f t="shared" si="6"/>
        <v>2038</v>
      </c>
      <c r="Q21" s="387">
        <f>Costs!G15</f>
        <v>0</v>
      </c>
      <c r="R21" s="388">
        <f>Costs!H17</f>
        <v>-610600</v>
      </c>
      <c r="S21" s="387">
        <f t="shared" si="3"/>
        <v>-610600</v>
      </c>
      <c r="T21" s="388">
        <f>S21*NPV!C18</f>
        <v>-386257.40701982332</v>
      </c>
      <c r="U21" s="299"/>
      <c r="V21" s="299"/>
      <c r="W21" s="299"/>
      <c r="X21" s="299"/>
      <c r="Y21" s="299"/>
      <c r="Z21" s="299"/>
      <c r="AA21" s="299"/>
      <c r="AB21" s="299"/>
      <c r="AC21" s="299"/>
    </row>
    <row r="22" spans="1:29">
      <c r="A22" s="19">
        <f t="shared" si="4"/>
        <v>2039</v>
      </c>
      <c r="B22" s="376">
        <f t="shared" si="0"/>
        <v>-178302.30823502006</v>
      </c>
      <c r="C22" s="377">
        <f t="shared" si="1"/>
        <v>3409549.8076566793</v>
      </c>
      <c r="D22" s="376">
        <f t="shared" si="2"/>
        <v>3587852.1158916992</v>
      </c>
      <c r="E22" s="380">
        <f>D22+E21</f>
        <v>-8653598.2729638983</v>
      </c>
      <c r="F22" s="299"/>
      <c r="G22" s="19">
        <f t="shared" si="5"/>
        <v>2039</v>
      </c>
      <c r="H22" s="370">
        <f>'TT &amp; OS'!H16</f>
        <v>2597379.1189380419</v>
      </c>
      <c r="I22" s="360">
        <f>'TT &amp; OS'!H52</f>
        <v>1600695.0341763964</v>
      </c>
      <c r="J22" s="528">
        <f>Safety!I13</f>
        <v>244846.79118202633</v>
      </c>
      <c r="K22" s="425">
        <f>'Environmental Protection'!I13</f>
        <v>217383</v>
      </c>
      <c r="L22" s="417">
        <f>'Environmental Protection'!H13</f>
        <v>488358</v>
      </c>
      <c r="M22" s="360">
        <f t="shared" si="8"/>
        <v>5148661.9442964643</v>
      </c>
      <c r="N22" s="425">
        <f>(SUM(H22:K22)*NPV!C17)+(L22*NPV!K17)</f>
        <v>3409549.8076566793</v>
      </c>
      <c r="O22" s="299"/>
      <c r="P22" s="19">
        <f t="shared" si="6"/>
        <v>2039</v>
      </c>
      <c r="Q22" s="387">
        <f>Costs!G16</f>
        <v>0</v>
      </c>
      <c r="R22" s="388">
        <f>Costs!H18</f>
        <v>-290600</v>
      </c>
      <c r="S22" s="387">
        <f t="shared" si="3"/>
        <v>-290600</v>
      </c>
      <c r="T22" s="388">
        <f>S22*NPV!C19</f>
        <v>-178302.30823502006</v>
      </c>
      <c r="U22" s="299"/>
      <c r="V22" s="299"/>
      <c r="W22" s="299"/>
      <c r="X22" s="299"/>
      <c r="Y22" s="299"/>
      <c r="Z22" s="299"/>
      <c r="AA22" s="299"/>
      <c r="AB22" s="299"/>
      <c r="AC22" s="299"/>
    </row>
    <row r="23" spans="1:29">
      <c r="A23" s="19">
        <f t="shared" si="4"/>
        <v>2040</v>
      </c>
      <c r="B23" s="376">
        <f t="shared" si="0"/>
        <v>-363378.71946367109</v>
      </c>
      <c r="C23" s="377">
        <f t="shared" si="1"/>
        <v>3367362.1092538415</v>
      </c>
      <c r="D23" s="376">
        <f t="shared" si="2"/>
        <v>3730740.8287175125</v>
      </c>
      <c r="E23" s="380">
        <f t="shared" si="7"/>
        <v>-4922857.4442463852</v>
      </c>
      <c r="F23" s="299"/>
      <c r="G23" s="19">
        <f t="shared" si="5"/>
        <v>2040</v>
      </c>
      <c r="H23" s="370">
        <f>'TT &amp; OS'!H17</f>
        <v>2636933.1156732095</v>
      </c>
      <c r="I23" s="360">
        <f>'TT &amp; OS'!H53</f>
        <v>1625071.100686704</v>
      </c>
      <c r="J23" s="528">
        <f>Safety!I14</f>
        <v>248575.42251982525</v>
      </c>
      <c r="K23" s="425">
        <f>'Environmental Protection'!I14</f>
        <v>220693</v>
      </c>
      <c r="L23" s="417">
        <f>'Environmental Protection'!H14</f>
        <v>503923</v>
      </c>
      <c r="M23" s="360">
        <f t="shared" si="8"/>
        <v>5235195.6388797387</v>
      </c>
      <c r="N23" s="425">
        <f>(SUM(H23:K23)*NPV!C18)+(L23*NPV!K18)</f>
        <v>3367362.1092538415</v>
      </c>
      <c r="O23" s="299"/>
      <c r="P23" s="19">
        <f t="shared" si="6"/>
        <v>2040</v>
      </c>
      <c r="Q23" s="387">
        <f>Costs!G17</f>
        <v>0</v>
      </c>
      <c r="R23" s="388">
        <f>Costs!H19</f>
        <v>-610600</v>
      </c>
      <c r="S23" s="387">
        <f t="shared" si="3"/>
        <v>-610600</v>
      </c>
      <c r="T23" s="388">
        <f>S23*NPV!C20</f>
        <v>-363378.71946367109</v>
      </c>
      <c r="U23" s="299"/>
      <c r="V23" s="299"/>
      <c r="W23" s="299"/>
      <c r="X23" s="299"/>
      <c r="Y23" s="299"/>
      <c r="Z23" s="299"/>
      <c r="AA23" s="299"/>
      <c r="AB23" s="299"/>
      <c r="AC23" s="299"/>
    </row>
    <row r="24" spans="1:29">
      <c r="A24" s="19">
        <f t="shared" si="4"/>
        <v>2041</v>
      </c>
      <c r="B24" s="376">
        <f t="shared" si="0"/>
        <v>51603.783402457331</v>
      </c>
      <c r="C24" s="377">
        <f t="shared" si="1"/>
        <v>3324634.500191269</v>
      </c>
      <c r="D24" s="376">
        <f t="shared" si="2"/>
        <v>3273030.7167888116</v>
      </c>
      <c r="E24" s="380">
        <f t="shared" ref="E24:E34" si="9">D24+E23</f>
        <v>-1649826.7274575736</v>
      </c>
      <c r="F24" s="299"/>
      <c r="G24" s="19">
        <f t="shared" si="5"/>
        <v>2041</v>
      </c>
      <c r="H24" s="370">
        <f>'TT &amp; OS'!H18</f>
        <v>2677089.4575362564</v>
      </c>
      <c r="I24" s="360">
        <f>'TT &amp; OS'!H54</f>
        <v>1649818.3763316143</v>
      </c>
      <c r="J24" s="528">
        <f>Safety!I15</f>
        <v>252360.83504549586</v>
      </c>
      <c r="K24" s="425">
        <f>'Environmental Protection'!I15</f>
        <v>224053</v>
      </c>
      <c r="L24" s="417">
        <f>'Environmental Protection'!H15</f>
        <v>518198</v>
      </c>
      <c r="M24" s="360">
        <f t="shared" si="8"/>
        <v>5321519.6689133663</v>
      </c>
      <c r="N24" s="425">
        <f>(SUM(H24:K24)*NPV!C19)+(L24*NPV!K19)</f>
        <v>3324634.500191269</v>
      </c>
      <c r="O24" s="299"/>
      <c r="P24" s="19">
        <f t="shared" si="6"/>
        <v>2041</v>
      </c>
      <c r="Q24" s="387">
        <f>Costs!G18</f>
        <v>0</v>
      </c>
      <c r="R24" s="388">
        <f>Costs!H20</f>
        <v>89400</v>
      </c>
      <c r="S24" s="387">
        <f t="shared" si="3"/>
        <v>89400</v>
      </c>
      <c r="T24" s="388">
        <f>S24*NPV!C21</f>
        <v>51603.783402457331</v>
      </c>
      <c r="U24" s="299"/>
      <c r="V24" s="299"/>
      <c r="W24" s="299"/>
      <c r="X24" s="299"/>
      <c r="Y24" s="299"/>
      <c r="Z24" s="299"/>
      <c r="AA24" s="299"/>
      <c r="AB24" s="299"/>
      <c r="AC24" s="299"/>
    </row>
    <row r="25" spans="1:29">
      <c r="A25" s="19">
        <f t="shared" si="4"/>
        <v>2042</v>
      </c>
      <c r="B25" s="376">
        <f t="shared" si="0"/>
        <v>-129105.47580493148</v>
      </c>
      <c r="C25" s="377">
        <f t="shared" si="1"/>
        <v>3283767.9906598525</v>
      </c>
      <c r="D25" s="376">
        <f t="shared" si="2"/>
        <v>3412873.466464784</v>
      </c>
      <c r="E25" s="380">
        <f t="shared" si="9"/>
        <v>1763046.7390072104</v>
      </c>
      <c r="F25" s="299"/>
      <c r="G25" s="19">
        <f t="shared" si="5"/>
        <v>2042</v>
      </c>
      <c r="H25" s="370">
        <f>'TT &amp; OS'!H19</f>
        <v>2717857.3172956486</v>
      </c>
      <c r="I25" s="360">
        <f>'TT &amp; OS'!H55</f>
        <v>1674942.5140422343</v>
      </c>
      <c r="J25" s="528">
        <f>Safety!I16</f>
        <v>256203.89344720086</v>
      </c>
      <c r="K25" s="425">
        <f>'Environmental Protection'!I16</f>
        <v>227465</v>
      </c>
      <c r="L25" s="417">
        <f>'Environmental Protection'!H16</f>
        <v>534467</v>
      </c>
      <c r="M25" s="360">
        <f t="shared" si="8"/>
        <v>5410935.7247850839</v>
      </c>
      <c r="N25" s="425">
        <f>(SUM(H25:K25)*NPV!C20)+(L25*NPV!K20)</f>
        <v>3283767.9906598525</v>
      </c>
      <c r="O25" s="299"/>
      <c r="P25" s="19">
        <f t="shared" si="6"/>
        <v>2042</v>
      </c>
      <c r="Q25" s="387">
        <f>Costs!G19</f>
        <v>0</v>
      </c>
      <c r="R25" s="388">
        <f>Costs!H21</f>
        <v>-230600</v>
      </c>
      <c r="S25" s="387">
        <f t="shared" si="3"/>
        <v>-230600</v>
      </c>
      <c r="T25" s="388">
        <f>S25*NPV!C22</f>
        <v>-129105.47580493148</v>
      </c>
      <c r="U25" s="299"/>
      <c r="V25" s="299"/>
      <c r="W25" s="299"/>
      <c r="X25" s="299"/>
      <c r="Y25" s="299"/>
      <c r="Z25" s="299"/>
      <c r="AA25" s="299"/>
      <c r="AB25" s="299"/>
      <c r="AC25" s="299"/>
    </row>
    <row r="26" spans="1:29">
      <c r="A26" s="19">
        <f t="shared" si="4"/>
        <v>2043</v>
      </c>
      <c r="B26" s="376">
        <f t="shared" si="0"/>
        <v>48547.202957076828</v>
      </c>
      <c r="C26" s="377">
        <f t="shared" si="1"/>
        <v>3243543.7947650072</v>
      </c>
      <c r="D26" s="376">
        <f>C26-B26</f>
        <v>3194996.5918079303</v>
      </c>
      <c r="E26" s="380">
        <f t="shared" si="9"/>
        <v>4958043.3308151402</v>
      </c>
      <c r="F26" s="299"/>
      <c r="G26" s="19">
        <f t="shared" si="5"/>
        <v>2043</v>
      </c>
      <c r="H26" s="370">
        <f>'TT &amp; OS'!H20</f>
        <v>2759246.0074067544</v>
      </c>
      <c r="I26" s="360">
        <f>'TT &amp; OS'!H56</f>
        <v>1700449.2528347536</v>
      </c>
      <c r="J26" s="528">
        <f>Safety!I17</f>
        <v>260105.47558091421</v>
      </c>
      <c r="K26" s="425">
        <f>'Environmental Protection'!I17</f>
        <v>230930</v>
      </c>
      <c r="L26" s="417">
        <f>'Environmental Protection'!H17</f>
        <v>551111</v>
      </c>
      <c r="M26" s="360">
        <f t="shared" si="8"/>
        <v>5501841.7358224224</v>
      </c>
      <c r="N26" s="425">
        <f>(SUM(H26:K26)*NPV!C21)+(L26*NPV!K21)</f>
        <v>3243543.7947650072</v>
      </c>
      <c r="O26" s="299"/>
      <c r="P26" s="19">
        <f t="shared" si="6"/>
        <v>2043</v>
      </c>
      <c r="Q26" s="387">
        <f>Costs!G20</f>
        <v>0</v>
      </c>
      <c r="R26" s="388">
        <f>Costs!H22</f>
        <v>89400</v>
      </c>
      <c r="S26" s="387">
        <f t="shared" si="3"/>
        <v>89400</v>
      </c>
      <c r="T26" s="388">
        <f>S26*NPV!C23</f>
        <v>48547.202957076828</v>
      </c>
      <c r="U26" s="299"/>
      <c r="V26" s="299"/>
      <c r="W26" s="299"/>
      <c r="X26" s="299"/>
      <c r="Y26" s="299"/>
      <c r="Z26" s="299"/>
      <c r="AA26" s="299"/>
      <c r="AB26" s="299"/>
      <c r="AC26" s="299"/>
    </row>
    <row r="27" spans="1:29">
      <c r="A27" s="19">
        <f t="shared" si="4"/>
        <v>2044</v>
      </c>
      <c r="B27" s="376">
        <f t="shared" si="0"/>
        <v>47087.490744012437</v>
      </c>
      <c r="C27" s="377">
        <f t="shared" si="1"/>
        <v>3202764.8818470766</v>
      </c>
      <c r="D27" s="376">
        <f t="shared" si="2"/>
        <v>3155677.3911030642</v>
      </c>
      <c r="E27" s="380">
        <f t="shared" si="9"/>
        <v>8113720.7219182048</v>
      </c>
      <c r="F27" s="299"/>
      <c r="G27" s="19">
        <f t="shared" si="5"/>
        <v>2044</v>
      </c>
      <c r="H27" s="370">
        <f>'TT &amp; OS'!H21</f>
        <v>2801264.9821387962</v>
      </c>
      <c r="I27" s="360">
        <f>'TT &amp; OS'!H57</f>
        <v>1726344.4191215993</v>
      </c>
      <c r="J27" s="528">
        <f>Safety!I18</f>
        <v>264066.47267098271</v>
      </c>
      <c r="K27" s="425">
        <f>'Environmental Protection'!I18</f>
        <v>234446</v>
      </c>
      <c r="L27" s="417">
        <f>'Environmental Protection'!H18</f>
        <v>566411</v>
      </c>
      <c r="M27" s="360">
        <f t="shared" si="8"/>
        <v>5592532.8739313781</v>
      </c>
      <c r="N27" s="425">
        <f>(SUM(H27:K27)*NPV!C22)+(L27*NPV!K22)</f>
        <v>3202764.8818470766</v>
      </c>
      <c r="O27" s="299"/>
      <c r="P27" s="19">
        <f t="shared" si="6"/>
        <v>2044</v>
      </c>
      <c r="Q27" s="387">
        <f>Costs!G21</f>
        <v>0</v>
      </c>
      <c r="R27" s="388">
        <f>Costs!H23</f>
        <v>89400</v>
      </c>
      <c r="S27" s="387">
        <f t="shared" si="3"/>
        <v>89400</v>
      </c>
      <c r="T27" s="388">
        <f>S27*NPV!C24</f>
        <v>47087.490744012437</v>
      </c>
      <c r="U27" s="299"/>
      <c r="V27" s="299"/>
      <c r="W27" s="299"/>
      <c r="X27" s="299"/>
      <c r="Y27" s="299"/>
      <c r="Z27" s="299"/>
      <c r="AA27" s="299"/>
      <c r="AB27" s="299"/>
      <c r="AC27" s="299"/>
    </row>
    <row r="28" spans="1:29">
      <c r="A28" s="19">
        <f t="shared" si="4"/>
        <v>2045</v>
      </c>
      <c r="B28" s="376">
        <f t="shared" si="0"/>
        <v>-825870.47106554219</v>
      </c>
      <c r="C28" s="377">
        <f t="shared" si="1"/>
        <v>3163799.1778875533</v>
      </c>
      <c r="D28" s="376">
        <f t="shared" si="2"/>
        <v>3989669.6489530955</v>
      </c>
      <c r="E28" s="380">
        <f t="shared" si="9"/>
        <v>12103390.3708713</v>
      </c>
      <c r="F28" s="299"/>
      <c r="G28" s="19">
        <f t="shared" si="5"/>
        <v>2045</v>
      </c>
      <c r="H28" s="370">
        <f>'TT &amp; OS'!H22</f>
        <v>2843923.8397347922</v>
      </c>
      <c r="I28" s="360">
        <f>'TT &amp; OS'!H58</f>
        <v>1752633.92804226</v>
      </c>
      <c r="J28" s="528">
        <f>Safety!I19</f>
        <v>268087.78951369331</v>
      </c>
      <c r="K28" s="425">
        <f>'Environmental Protection'!I19</f>
        <v>238017</v>
      </c>
      <c r="L28" s="417">
        <f>'Environmental Protection'!H19</f>
        <v>583802</v>
      </c>
      <c r="M28" s="360">
        <f t="shared" si="8"/>
        <v>5686464.557290745</v>
      </c>
      <c r="N28" s="425">
        <f>(SUM(H28:K28)*NPV!C23)+(L28*NPV!K23)</f>
        <v>3163799.1778875533</v>
      </c>
      <c r="O28" s="299"/>
      <c r="P28" s="19">
        <f t="shared" si="6"/>
        <v>2045</v>
      </c>
      <c r="Q28" s="387">
        <f>Costs!G22</f>
        <v>0</v>
      </c>
      <c r="R28" s="388">
        <f>Costs!H24</f>
        <v>-1616600</v>
      </c>
      <c r="S28" s="387">
        <f t="shared" si="3"/>
        <v>-1616600</v>
      </c>
      <c r="T28" s="388">
        <f>S28*NPV!C25</f>
        <v>-825870.47106554219</v>
      </c>
      <c r="U28" s="299"/>
      <c r="V28" s="299"/>
      <c r="W28" s="299"/>
      <c r="X28" s="299"/>
      <c r="Y28" s="299"/>
      <c r="Z28" s="299"/>
      <c r="AA28" s="299"/>
      <c r="AB28" s="299"/>
      <c r="AC28" s="299"/>
    </row>
    <row r="29" spans="1:29">
      <c r="A29" s="19">
        <f t="shared" si="4"/>
        <v>2046</v>
      </c>
      <c r="B29" s="376">
        <f t="shared" si="0"/>
        <v>1993627.0152581027</v>
      </c>
      <c r="C29" s="377">
        <f t="shared" si="1"/>
        <v>3125445.5134895258</v>
      </c>
      <c r="D29" s="376">
        <f t="shared" si="2"/>
        <v>1131818.4982314231</v>
      </c>
      <c r="E29" s="380">
        <f t="shared" si="9"/>
        <v>13235208.869102724</v>
      </c>
      <c r="F29" s="299"/>
      <c r="G29" s="19">
        <f t="shared" si="5"/>
        <v>2046</v>
      </c>
      <c r="H29" s="370">
        <f>'TT &amp; OS'!H23</f>
        <v>2887232.3246038468</v>
      </c>
      <c r="I29" s="360">
        <f>'TT &amp; OS'!H59</f>
        <v>1779323.7848144607</v>
      </c>
      <c r="J29" s="528">
        <f>Safety!I20</f>
        <v>272170.34468394885</v>
      </c>
      <c r="K29" s="425">
        <f>'Environmental Protection'!I20</f>
        <v>241642</v>
      </c>
      <c r="L29" s="417">
        <f>'Environmental Protection'!H20</f>
        <v>601592</v>
      </c>
      <c r="M29" s="360">
        <f t="shared" si="8"/>
        <v>5781960.4541022563</v>
      </c>
      <c r="N29" s="425">
        <f>(SUM(H29:K29)*NPV!C24)+(L29*NPV!K24)</f>
        <v>3125445.5134895258</v>
      </c>
      <c r="O29" s="299"/>
      <c r="P29" s="19">
        <f t="shared" si="6"/>
        <v>2046</v>
      </c>
      <c r="Q29" s="387">
        <f>Costs!G23</f>
        <v>0</v>
      </c>
      <c r="R29" s="388">
        <f>Costs!H25</f>
        <v>4023400</v>
      </c>
      <c r="S29" s="387">
        <f t="shared" si="3"/>
        <v>4023400</v>
      </c>
      <c r="T29" s="388">
        <f>S29*NPV!C26</f>
        <v>1993627.0152581027</v>
      </c>
      <c r="U29" s="299"/>
      <c r="V29" s="299"/>
      <c r="W29" s="299"/>
      <c r="X29" s="299"/>
      <c r="Y29" s="299"/>
      <c r="Z29" s="299"/>
      <c r="AA29" s="299"/>
      <c r="AB29" s="299"/>
      <c r="AC29" s="299"/>
    </row>
    <row r="30" spans="1:29">
      <c r="A30" s="19">
        <f t="shared" si="4"/>
        <v>2047</v>
      </c>
      <c r="B30" s="376">
        <f t="shared" si="0"/>
        <v>-776952.7490336356</v>
      </c>
      <c r="C30" s="377">
        <f t="shared" si="1"/>
        <v>3088861.8598142136</v>
      </c>
      <c r="D30" s="376">
        <f t="shared" si="2"/>
        <v>3865814.6088478491</v>
      </c>
      <c r="E30" s="380">
        <f t="shared" si="9"/>
        <v>17101023.477950573</v>
      </c>
      <c r="F30" s="299"/>
      <c r="G30" s="19">
        <f t="shared" si="5"/>
        <v>2047</v>
      </c>
      <c r="H30" s="370">
        <f>'TT &amp; OS'!H24</f>
        <v>2931200.3295471449</v>
      </c>
      <c r="I30" s="360">
        <f>'TT &amp; OS'!H60</f>
        <v>1806420.0861060529</v>
      </c>
      <c r="J30" s="528">
        <f>Safety!I21</f>
        <v>276315.07074512535</v>
      </c>
      <c r="K30" s="425">
        <f>'Environmental Protection'!I21</f>
        <v>245321</v>
      </c>
      <c r="L30" s="417">
        <f>'Environmental Protection'!H21</f>
        <v>621595</v>
      </c>
      <c r="M30" s="360">
        <f t="shared" si="8"/>
        <v>5880851.4863983234</v>
      </c>
      <c r="N30" s="425">
        <f>(SUM(H30:K30)*NPV!C25)+(L30*NPV!K25)</f>
        <v>3088861.8598142136</v>
      </c>
      <c r="O30" s="299"/>
      <c r="P30" s="19">
        <f t="shared" si="6"/>
        <v>2047</v>
      </c>
      <c r="Q30" s="387">
        <f>Costs!G24</f>
        <v>0</v>
      </c>
      <c r="R30" s="388">
        <f>Costs!H26</f>
        <v>-1616600</v>
      </c>
      <c r="S30" s="387">
        <f t="shared" si="3"/>
        <v>-1616600</v>
      </c>
      <c r="T30" s="388">
        <f>S30*NPV!C27</f>
        <v>-776952.7490336356</v>
      </c>
      <c r="U30" s="299"/>
      <c r="V30" s="299"/>
      <c r="W30" s="299"/>
      <c r="X30" s="299"/>
      <c r="Y30" s="299"/>
      <c r="Z30" s="299"/>
      <c r="AA30" s="299"/>
      <c r="AB30" s="299"/>
      <c r="AC30" s="299"/>
    </row>
    <row r="31" spans="1:29">
      <c r="A31" s="19">
        <f t="shared" si="4"/>
        <v>2048</v>
      </c>
      <c r="B31" s="376">
        <f t="shared" si="0"/>
        <v>41674.546898195418</v>
      </c>
      <c r="C31" s="377">
        <f t="shared" si="1"/>
        <v>3050533.2491122251</v>
      </c>
      <c r="D31" s="376">
        <f t="shared" si="2"/>
        <v>3008858.7022140296</v>
      </c>
      <c r="E31" s="380">
        <f t="shared" si="9"/>
        <v>20109882.180164602</v>
      </c>
      <c r="F31" s="299"/>
      <c r="G31" s="19">
        <f t="shared" si="5"/>
        <v>2048</v>
      </c>
      <c r="H31" s="370">
        <f>'TT &amp; OS'!H25</f>
        <v>2975837.8980173673</v>
      </c>
      <c r="I31" s="360">
        <f>'TT &amp; OS'!H61</f>
        <v>1833929.0214274405</v>
      </c>
      <c r="J31" s="528">
        <f>Safety!I22</f>
        <v>280522.91446205176</v>
      </c>
      <c r="K31" s="425">
        <f>'Environmental Protection'!I22</f>
        <v>249056</v>
      </c>
      <c r="L31" s="417">
        <f>'Environmental Protection'!H22</f>
        <v>638399</v>
      </c>
      <c r="M31" s="360">
        <f t="shared" si="8"/>
        <v>5977744.8339068592</v>
      </c>
      <c r="N31" s="425">
        <f>(SUM(H31:K31)*NPV!C26)+(L31*NPV!K26)</f>
        <v>3050533.2491122251</v>
      </c>
      <c r="O31" s="299"/>
      <c r="P31" s="19">
        <f t="shared" si="6"/>
        <v>2048</v>
      </c>
      <c r="Q31" s="387">
        <f>Costs!G25</f>
        <v>0</v>
      </c>
      <c r="R31" s="388">
        <f>Costs!H27</f>
        <v>89400</v>
      </c>
      <c r="S31" s="387">
        <f t="shared" si="3"/>
        <v>89400</v>
      </c>
      <c r="T31" s="388">
        <f>S31*NPV!C28</f>
        <v>41674.546898195418</v>
      </c>
      <c r="U31" s="299"/>
      <c r="V31" s="299"/>
      <c r="W31" s="299"/>
      <c r="X31" s="299"/>
      <c r="Y31" s="299"/>
      <c r="Z31" s="299"/>
      <c r="AA31" s="299"/>
      <c r="AB31" s="299"/>
      <c r="AC31" s="299"/>
    </row>
    <row r="32" spans="1:29">
      <c r="A32" s="19">
        <f t="shared" si="4"/>
        <v>2049</v>
      </c>
      <c r="B32" s="376">
        <f t="shared" si="0"/>
        <v>-248949.30013156362</v>
      </c>
      <c r="C32" s="377">
        <f t="shared" si="1"/>
        <v>3013957.0561957275</v>
      </c>
      <c r="D32" s="376">
        <f t="shared" si="2"/>
        <v>3262906.3563272911</v>
      </c>
      <c r="E32" s="380">
        <f t="shared" si="9"/>
        <v>23372788.536491893</v>
      </c>
      <c r="F32" s="299"/>
      <c r="G32" s="19">
        <f t="shared" si="5"/>
        <v>2049</v>
      </c>
      <c r="H32" s="370">
        <f>'TT &amp; OS'!H26</f>
        <v>3021155.2264136048</v>
      </c>
      <c r="I32" s="360">
        <f>'TT &amp; OS'!H62</f>
        <v>1861856.8745456382</v>
      </c>
      <c r="J32" s="528">
        <f>Safety!I23</f>
        <v>284794.83701731317</v>
      </c>
      <c r="K32" s="425">
        <f>'Environmental Protection'!I23</f>
        <v>252849</v>
      </c>
      <c r="L32" s="417">
        <f>'Environmental Protection'!H23</f>
        <v>657433</v>
      </c>
      <c r="M32" s="360">
        <f t="shared" si="8"/>
        <v>6078088.9379765568</v>
      </c>
      <c r="N32" s="425">
        <f>(SUM(H32:K32)*NPV!C27)+(L32*NPV!K27)</f>
        <v>3013957.0561957275</v>
      </c>
      <c r="O32" s="299"/>
      <c r="P32" s="19">
        <f t="shared" si="6"/>
        <v>2049</v>
      </c>
      <c r="Q32" s="387">
        <f>Costs!G26</f>
        <v>0</v>
      </c>
      <c r="R32" s="388">
        <f>Costs!H28</f>
        <v>-550600</v>
      </c>
      <c r="S32" s="387">
        <f t="shared" si="3"/>
        <v>-550600</v>
      </c>
      <c r="T32" s="388">
        <f>S32*NPV!C29</f>
        <v>-248949.30013156362</v>
      </c>
      <c r="U32" s="299"/>
      <c r="V32" s="299"/>
      <c r="W32" s="299"/>
      <c r="X32" s="299"/>
      <c r="Y32" s="299"/>
      <c r="Z32" s="299"/>
      <c r="AA32" s="299"/>
      <c r="AB32" s="299"/>
      <c r="AC32" s="299"/>
    </row>
    <row r="33" spans="1:29">
      <c r="A33" s="19">
        <f t="shared" si="4"/>
        <v>2050</v>
      </c>
      <c r="B33" s="376">
        <f t="shared" si="0"/>
        <v>39206.092131503814</v>
      </c>
      <c r="C33" s="377">
        <f t="shared" si="1"/>
        <v>2976801.7459034449</v>
      </c>
      <c r="D33" s="376">
        <f t="shared" si="2"/>
        <v>2937595.6537719411</v>
      </c>
      <c r="E33" s="380">
        <f t="shared" si="9"/>
        <v>26310384.190263834</v>
      </c>
      <c r="F33" s="299"/>
      <c r="G33" s="19">
        <f t="shared" si="5"/>
        <v>2050</v>
      </c>
      <c r="H33" s="370">
        <f>'TT &amp; OS'!H27</f>
        <v>3067162.6664097789</v>
      </c>
      <c r="I33" s="360">
        <f>'TT &amp; OS'!H63</f>
        <v>1890210.0249194361</v>
      </c>
      <c r="J33" s="528">
        <f>Safety!I24</f>
        <v>289131.81423077657</v>
      </c>
      <c r="K33" s="425">
        <f>'Environmental Protection'!I24</f>
        <v>256700</v>
      </c>
      <c r="L33" s="417">
        <f>'Environmental Protection'!H24</f>
        <v>675007</v>
      </c>
      <c r="M33" s="360">
        <f t="shared" si="8"/>
        <v>6178211.5055599911</v>
      </c>
      <c r="N33" s="425">
        <f>(SUM(H33:K33)*NPV!C28)+(L33*NPV!K28)</f>
        <v>2976801.7459034449</v>
      </c>
      <c r="O33" s="299"/>
      <c r="P33" s="19">
        <f t="shared" si="6"/>
        <v>2050</v>
      </c>
      <c r="Q33" s="387">
        <f>Costs!G27</f>
        <v>0</v>
      </c>
      <c r="R33" s="388">
        <f>Costs!H29</f>
        <v>89400</v>
      </c>
      <c r="S33" s="387">
        <f t="shared" si="3"/>
        <v>89400</v>
      </c>
      <c r="T33" s="388">
        <f>S33*NPV!C30</f>
        <v>39206.092131503814</v>
      </c>
      <c r="U33" s="299"/>
      <c r="V33" s="299"/>
      <c r="W33" s="299"/>
      <c r="X33" s="299"/>
      <c r="Y33" s="299"/>
      <c r="Z33" s="299"/>
      <c r="AA33" s="299"/>
      <c r="AB33" s="299"/>
      <c r="AC33" s="299"/>
    </row>
    <row r="34" spans="1:29">
      <c r="A34" s="19">
        <f t="shared" si="4"/>
        <v>2051</v>
      </c>
      <c r="B34" s="376">
        <f t="shared" si="0"/>
        <v>38027.247460236482</v>
      </c>
      <c r="C34" s="377">
        <f t="shared" si="1"/>
        <v>2940707.3122415752</v>
      </c>
      <c r="D34" s="376">
        <f t="shared" si="2"/>
        <v>2902680.0647813389</v>
      </c>
      <c r="E34" s="380">
        <f t="shared" si="9"/>
        <v>29213064.255045172</v>
      </c>
      <c r="F34" s="299"/>
      <c r="G34" s="19">
        <f t="shared" si="5"/>
        <v>2051</v>
      </c>
      <c r="H34" s="370">
        <f>'TT &amp; OS'!H28</f>
        <v>3113170.1064059455</v>
      </c>
      <c r="I34" s="360">
        <f>'TT &amp; OS'!H64</f>
        <v>1918563.1752932526</v>
      </c>
      <c r="J34" s="528">
        <f>Safety!I25</f>
        <v>293468.79144424148</v>
      </c>
      <c r="K34" s="425">
        <f>'Environmental Protection'!I25</f>
        <v>260550</v>
      </c>
      <c r="L34" s="417">
        <f>'Environmental Protection'!H25</f>
        <v>694728</v>
      </c>
      <c r="M34" s="360">
        <f t="shared" si="8"/>
        <v>6280480.0731434394</v>
      </c>
      <c r="N34" s="425">
        <f>(SUM(H34:K34)*NPV!C29)+(L34*NPV!K29)</f>
        <v>2940707.3122415752</v>
      </c>
      <c r="O34" s="299"/>
      <c r="P34" s="19">
        <f t="shared" si="6"/>
        <v>2051</v>
      </c>
      <c r="Q34" s="387">
        <f>Costs!G28</f>
        <v>0</v>
      </c>
      <c r="R34" s="388">
        <f>Costs!H30</f>
        <v>89400</v>
      </c>
      <c r="S34" s="387">
        <f t="shared" si="3"/>
        <v>89400</v>
      </c>
      <c r="T34" s="388">
        <f>S34*NPV!C31</f>
        <v>38027.247460236482</v>
      </c>
      <c r="U34" s="299"/>
      <c r="V34" s="299"/>
      <c r="W34" s="299"/>
      <c r="X34" s="299"/>
      <c r="Y34" s="299"/>
      <c r="Z34" s="299"/>
      <c r="AA34" s="299"/>
      <c r="AB34" s="299"/>
      <c r="AC34" s="299"/>
    </row>
    <row r="35" spans="1:29">
      <c r="A35" s="19">
        <f t="shared" si="4"/>
        <v>2052</v>
      </c>
      <c r="B35" s="376">
        <f t="shared" si="0"/>
        <v>-251915.85783898691</v>
      </c>
      <c r="C35" s="377">
        <f t="shared" si="1"/>
        <v>2903972.4558153423</v>
      </c>
      <c r="D35" s="376">
        <f t="shared" si="2"/>
        <v>3155888.3136543292</v>
      </c>
      <c r="E35" s="380">
        <f t="shared" si="7"/>
        <v>32368952.568699501</v>
      </c>
      <c r="F35" s="299"/>
      <c r="G35" s="19">
        <f t="shared" si="5"/>
        <v>2052</v>
      </c>
      <c r="H35" s="370">
        <f>'TT &amp; OS'!H29</f>
        <v>3159704.9204304689</v>
      </c>
      <c r="I35" s="360">
        <f>'TT &amp; OS'!H65</f>
        <v>1947341.622922593</v>
      </c>
      <c r="J35" s="528">
        <f>Safety!I26</f>
        <v>297870.82331589563</v>
      </c>
      <c r="K35" s="425">
        <f>'Environmental Protection'!I26</f>
        <v>264459</v>
      </c>
      <c r="L35" s="417">
        <f>'Environmental Protection'!H26</f>
        <v>712941</v>
      </c>
      <c r="M35" s="360">
        <f t="shared" si="8"/>
        <v>6382317.3666689582</v>
      </c>
      <c r="N35" s="425">
        <f>(SUM(H35:K35)*NPV!C30)+(L35*NPV!K30)</f>
        <v>2903972.4558153423</v>
      </c>
      <c r="O35" s="299"/>
      <c r="P35" s="19">
        <f t="shared" si="6"/>
        <v>2052</v>
      </c>
      <c r="Q35" s="387">
        <f>Costs!G29</f>
        <v>0</v>
      </c>
      <c r="R35" s="388">
        <f>Costs!H31</f>
        <v>-610600</v>
      </c>
      <c r="S35" s="387">
        <f t="shared" si="3"/>
        <v>-610600</v>
      </c>
      <c r="T35" s="388">
        <f>S35*NPV!C32</f>
        <v>-251915.85783898691</v>
      </c>
      <c r="U35" s="299"/>
      <c r="V35" s="299"/>
      <c r="W35" s="299"/>
      <c r="X35" s="299"/>
      <c r="Y35" s="299"/>
      <c r="Z35" s="299"/>
      <c r="AA35" s="299"/>
      <c r="AB35" s="299"/>
      <c r="AC35" s="299"/>
    </row>
    <row r="36" spans="1:29">
      <c r="A36" s="19">
        <f t="shared" si="4"/>
        <v>2053</v>
      </c>
      <c r="B36" s="376">
        <f t="shared" si="0"/>
        <v>-116288.20086650488</v>
      </c>
      <c r="C36" s="377">
        <f t="shared" si="1"/>
        <v>2867953.0470264256</v>
      </c>
      <c r="D36" s="376">
        <f t="shared" si="2"/>
        <v>2984241.2478929306</v>
      </c>
      <c r="E36" s="380">
        <f t="shared" si="7"/>
        <v>35353193.816592433</v>
      </c>
      <c r="F36" s="299"/>
      <c r="G36" s="19">
        <f t="shared" si="5"/>
        <v>2053</v>
      </c>
      <c r="H36" s="370">
        <f>'TT &amp; OS'!H30</f>
        <v>3207265.6728720376</v>
      </c>
      <c r="I36" s="360">
        <f>'TT &amp; OS'!H66</f>
        <v>1976551.7472664462</v>
      </c>
      <c r="J36" s="528">
        <f>Safety!I27</f>
        <v>302338.88566563546</v>
      </c>
      <c r="K36" s="425">
        <f>'Environmental Protection'!I27</f>
        <v>268425</v>
      </c>
      <c r="L36" s="417">
        <f>'Environmental Protection'!H27</f>
        <v>731544</v>
      </c>
      <c r="M36" s="360">
        <f t="shared" si="8"/>
        <v>6486125.3058041194</v>
      </c>
      <c r="N36" s="425">
        <f>(SUM(H36:K36)*NPV!C31)+(L36*NPV!K31)</f>
        <v>2867953.0470264256</v>
      </c>
      <c r="O36" s="299"/>
      <c r="P36" s="19">
        <f t="shared" si="6"/>
        <v>2053</v>
      </c>
      <c r="Q36" s="387">
        <f>Costs!G30</f>
        <v>0</v>
      </c>
      <c r="R36" s="388">
        <f>Costs!H32</f>
        <v>-290600</v>
      </c>
      <c r="S36" s="387">
        <f t="shared" si="3"/>
        <v>-290600</v>
      </c>
      <c r="T36" s="388">
        <f>S36*NPV!C33</f>
        <v>-116288.20086650488</v>
      </c>
      <c r="U36" s="299"/>
      <c r="V36" s="299"/>
      <c r="W36" s="299"/>
      <c r="X36" s="299"/>
      <c r="Y36" s="299"/>
      <c r="Z36" s="299"/>
      <c r="AA36" s="299"/>
      <c r="AB36" s="299"/>
      <c r="AC36" s="299"/>
    </row>
    <row r="37" spans="1:29">
      <c r="A37" s="19">
        <f t="shared" si="4"/>
        <v>2054</v>
      </c>
      <c r="B37" s="376">
        <f t="shared" si="0"/>
        <v>-236994.45025639414</v>
      </c>
      <c r="C37" s="377">
        <f t="shared" si="1"/>
        <v>2833557.001912008</v>
      </c>
      <c r="D37" s="376">
        <f t="shared" si="2"/>
        <v>3070551.4521684023</v>
      </c>
      <c r="E37" s="380">
        <f t="shared" si="7"/>
        <v>38423745.268760838</v>
      </c>
      <c r="F37" s="299"/>
      <c r="G37" s="19">
        <f t="shared" si="5"/>
        <v>2054</v>
      </c>
      <c r="H37" s="370">
        <f>'TT &amp; OS'!H31</f>
        <v>3255374.6579650352</v>
      </c>
      <c r="I37" s="360">
        <f>'TT &amp; OS'!H67</f>
        <v>2006200.0234754959</v>
      </c>
      <c r="J37" s="528">
        <f>Safety!I28</f>
        <v>306873.96895062993</v>
      </c>
      <c r="K37" s="425">
        <f>'Environmental Protection'!I28</f>
        <v>272452</v>
      </c>
      <c r="L37" s="417">
        <f>'Environmental Protection'!H28</f>
        <v>752551</v>
      </c>
      <c r="M37" s="360">
        <f t="shared" si="8"/>
        <v>6593451.6503911614</v>
      </c>
      <c r="N37" s="425">
        <f>(SUM(H37:K37)*NPV!C32)+(L37*NPV!K32)</f>
        <v>2833557.001912008</v>
      </c>
      <c r="O37" s="299"/>
      <c r="P37" s="19">
        <f t="shared" si="6"/>
        <v>2054</v>
      </c>
      <c r="Q37" s="387">
        <f>Costs!G31</f>
        <v>0</v>
      </c>
      <c r="R37" s="388">
        <f>Costs!H33</f>
        <v>-610600</v>
      </c>
      <c r="S37" s="387">
        <f t="shared" si="3"/>
        <v>-610600</v>
      </c>
      <c r="T37" s="388">
        <f>S37*NPV!C34</f>
        <v>-236994.45025639414</v>
      </c>
      <c r="U37" s="299"/>
      <c r="V37" s="299"/>
      <c r="W37" s="299"/>
      <c r="X37" s="299"/>
      <c r="Y37" s="299"/>
      <c r="Z37" s="299"/>
      <c r="AA37" s="299"/>
      <c r="AB37" s="299"/>
      <c r="AC37" s="299"/>
    </row>
    <row r="38" spans="1:29">
      <c r="A38" s="19">
        <f t="shared" si="4"/>
        <v>2055</v>
      </c>
      <c r="B38" s="376">
        <f t="shared" si="0"/>
        <v>33655.824140351418</v>
      </c>
      <c r="C38" s="377">
        <f t="shared" si="1"/>
        <v>2794082.3710136171</v>
      </c>
      <c r="D38" s="376">
        <f t="shared" si="2"/>
        <v>2760426.5468732659</v>
      </c>
      <c r="E38" s="380">
        <f t="shared" si="7"/>
        <v>41184171.815634102</v>
      </c>
      <c r="F38" s="299"/>
      <c r="G38" s="19">
        <f t="shared" si="5"/>
        <v>2055</v>
      </c>
      <c r="H38" s="370">
        <f>'TT &amp; OS'!H32</f>
        <v>3304205.2778346133</v>
      </c>
      <c r="I38" s="360">
        <f>'TT &amp; OS'!H68</f>
        <v>2036293.0238276389</v>
      </c>
      <c r="J38" s="528">
        <f>Safety!I29</f>
        <v>311477.0784848918</v>
      </c>
      <c r="K38" s="425">
        <f>'Environmental Protection'!I29</f>
        <v>276539</v>
      </c>
      <c r="L38" s="417">
        <f>'Environmental Protection'!H29</f>
        <v>763839</v>
      </c>
      <c r="M38" s="360">
        <f t="shared" si="8"/>
        <v>6692353.3801471442</v>
      </c>
      <c r="N38" s="425">
        <f>(SUM(H38:K38)*NPV!C33)+(L38*NPV!K33)</f>
        <v>2794082.3710136171</v>
      </c>
      <c r="O38" s="299"/>
      <c r="P38" s="19">
        <f t="shared" si="6"/>
        <v>2055</v>
      </c>
      <c r="Q38" s="387">
        <f>Costs!G32</f>
        <v>0</v>
      </c>
      <c r="R38" s="388">
        <f>Costs!H34</f>
        <v>89400</v>
      </c>
      <c r="S38" s="387">
        <f t="shared" si="3"/>
        <v>89400</v>
      </c>
      <c r="T38" s="388">
        <f>S38*NPV!C35</f>
        <v>33655.824140351418</v>
      </c>
      <c r="U38" s="299"/>
      <c r="V38" s="299"/>
      <c r="W38" s="299"/>
      <c r="X38" s="299"/>
      <c r="Y38" s="299"/>
      <c r="Z38" s="299"/>
      <c r="AA38" s="299"/>
      <c r="AB38" s="299"/>
      <c r="AC38" s="299"/>
    </row>
    <row r="39" spans="1:29">
      <c r="A39" s="19">
        <f t="shared" si="4"/>
        <v>2056</v>
      </c>
      <c r="B39" s="376">
        <f t="shared" si="0"/>
        <v>3567236.7823071931</v>
      </c>
      <c r="C39" s="377">
        <f t="shared" si="1"/>
        <v>2658979.6619171114</v>
      </c>
      <c r="D39" s="376">
        <f t="shared" si="2"/>
        <v>-908257.12039008178</v>
      </c>
      <c r="E39" s="380">
        <f t="shared" si="7"/>
        <v>40275914.695244022</v>
      </c>
      <c r="F39" s="299"/>
      <c r="G39" s="19">
        <f t="shared" si="5"/>
        <v>2056</v>
      </c>
      <c r="H39" s="370">
        <f>'TT &amp; OS'!H33</f>
        <v>3105867.0025112657</v>
      </c>
      <c r="I39" s="360">
        <f>'TT &amp; OS'!H69</f>
        <v>2066837.4191850366</v>
      </c>
      <c r="J39" s="528">
        <f>Safety!I30</f>
        <v>316149.23466216371</v>
      </c>
      <c r="K39" s="425">
        <f>'Environmental Protection'!I30</f>
        <v>280687</v>
      </c>
      <c r="L39" s="417">
        <f>'Environmental Protection'!H30</f>
        <v>775297</v>
      </c>
      <c r="M39" s="360">
        <f t="shared" si="8"/>
        <v>6544837.6563584665</v>
      </c>
      <c r="N39" s="425">
        <f>(SUM(H39:K39)*NPV!C34)+(L39*NPV!K34)</f>
        <v>2658979.6619171114</v>
      </c>
      <c r="O39" s="299"/>
      <c r="P39" s="19">
        <f t="shared" si="6"/>
        <v>2056</v>
      </c>
      <c r="Q39" s="387">
        <f>Costs!G33</f>
        <v>0</v>
      </c>
      <c r="R39" s="388">
        <f>Costs!H35</f>
        <v>9769400</v>
      </c>
      <c r="S39" s="387">
        <f t="shared" si="3"/>
        <v>9769400</v>
      </c>
      <c r="T39" s="388">
        <f>S39*NPV!C36</f>
        <v>3567236.7823071931</v>
      </c>
      <c r="U39" s="299"/>
      <c r="V39" s="299"/>
      <c r="W39" s="299"/>
      <c r="X39" s="299"/>
      <c r="Y39" s="299"/>
      <c r="Z39" s="299"/>
      <c r="AA39" s="299"/>
      <c r="AB39" s="299"/>
      <c r="AC39" s="299"/>
    </row>
    <row r="40" spans="1:29">
      <c r="A40" s="19">
        <f t="shared" si="4"/>
        <v>2057</v>
      </c>
      <c r="B40" s="376">
        <f t="shared" si="0"/>
        <v>31662.332052023947</v>
      </c>
      <c r="C40" s="377">
        <f t="shared" si="1"/>
        <v>2716895.646116558</v>
      </c>
      <c r="D40" s="376">
        <f t="shared" si="2"/>
        <v>2685233.3140645339</v>
      </c>
      <c r="E40" s="380">
        <f t="shared" si="7"/>
        <v>42961148.009308554</v>
      </c>
      <c r="F40" s="299"/>
      <c r="G40" s="19">
        <f t="shared" si="5"/>
        <v>2057</v>
      </c>
      <c r="H40" s="370">
        <f>'TT &amp; OS'!H34</f>
        <v>3404074.8823570902</v>
      </c>
      <c r="I40" s="360">
        <f>'TT &amp; OS'!H70</f>
        <v>2097839.9804728464</v>
      </c>
      <c r="J40" s="528">
        <f>Safety!I31</f>
        <v>320891.47318210156</v>
      </c>
      <c r="K40" s="425">
        <f>'Environmental Protection'!I31</f>
        <v>284897</v>
      </c>
      <c r="L40" s="417">
        <f>'Environmental Protection'!H31</f>
        <v>786926</v>
      </c>
      <c r="M40" s="360">
        <f t="shared" si="8"/>
        <v>6894629.3360120384</v>
      </c>
      <c r="N40" s="425">
        <f>(SUM(H40:K40)*NPV!C35)+(L40*NPV!K35)</f>
        <v>2716895.646116558</v>
      </c>
      <c r="O40" s="299"/>
      <c r="P40" s="19">
        <f t="shared" si="6"/>
        <v>2057</v>
      </c>
      <c r="Q40" s="387">
        <f>Costs!G34</f>
        <v>0</v>
      </c>
      <c r="R40" s="388">
        <f>Costs!H36</f>
        <v>89400</v>
      </c>
      <c r="S40" s="387">
        <f t="shared" si="3"/>
        <v>89400</v>
      </c>
      <c r="T40" s="388">
        <f>S40*NPV!C37</f>
        <v>31662.332052023947</v>
      </c>
      <c r="U40" s="299"/>
      <c r="V40" s="299"/>
      <c r="W40" s="299"/>
      <c r="X40" s="299"/>
      <c r="Y40" s="299"/>
      <c r="Z40" s="299"/>
      <c r="AA40" s="299"/>
      <c r="AB40" s="299"/>
      <c r="AC40" s="299"/>
    </row>
    <row r="41" spans="1:29">
      <c r="A41" s="19">
        <f t="shared" si="4"/>
        <v>2058</v>
      </c>
      <c r="B41" s="376">
        <f t="shared" si="0"/>
        <v>30710.312368597431</v>
      </c>
      <c r="C41" s="377">
        <f t="shared" si="1"/>
        <v>2679165.9452665462</v>
      </c>
      <c r="D41" s="376">
        <f t="shared" si="2"/>
        <v>2648455.6328979488</v>
      </c>
      <c r="E41" s="380">
        <f t="shared" si="7"/>
        <v>45609603.642206505</v>
      </c>
      <c r="F41" s="299"/>
      <c r="G41" s="19">
        <f t="shared" si="5"/>
        <v>2058</v>
      </c>
      <c r="H41" s="370">
        <f>'TT &amp; OS'!H35</f>
        <v>3455136.0055924277</v>
      </c>
      <c r="I41" s="360">
        <f>'TT &amp; OS'!H71</f>
        <v>2129307.5801799297</v>
      </c>
      <c r="J41" s="528">
        <f>Safety!I32</f>
        <v>325704.84527983156</v>
      </c>
      <c r="K41" s="425">
        <f>'Environmental Protection'!I32</f>
        <v>289171</v>
      </c>
      <c r="L41" s="417">
        <f>'Environmental Protection'!H32</f>
        <v>798730</v>
      </c>
      <c r="M41" s="360">
        <f t="shared" si="8"/>
        <v>6998049.4310521893</v>
      </c>
      <c r="N41" s="425">
        <f>(SUM(H41:K41)*NPV!C36)+(L41*NPV!K36)</f>
        <v>2679165.9452665462</v>
      </c>
      <c r="O41" s="299"/>
      <c r="P41" s="19">
        <f t="shared" si="6"/>
        <v>2058</v>
      </c>
      <c r="Q41" s="387">
        <f>Costs!G35</f>
        <v>0</v>
      </c>
      <c r="R41" s="388">
        <f>Costs!H37</f>
        <v>89400</v>
      </c>
      <c r="S41" s="387">
        <f t="shared" si="3"/>
        <v>89400</v>
      </c>
      <c r="T41" s="388">
        <f>S41*NPV!C38</f>
        <v>30710.312368597431</v>
      </c>
      <c r="U41" s="299"/>
      <c r="V41" s="299"/>
      <c r="W41" s="299"/>
      <c r="X41" s="299"/>
      <c r="Y41" s="299"/>
      <c r="Z41" s="299"/>
      <c r="AA41" s="299"/>
      <c r="AB41" s="299"/>
      <c r="AC41" s="299"/>
    </row>
    <row r="42" spans="1:29">
      <c r="A42" s="19">
        <f t="shared" si="4"/>
        <v>2059</v>
      </c>
      <c r="B42" s="376">
        <f t="shared" si="0"/>
        <v>-203443.98297373796</v>
      </c>
      <c r="C42" s="377">
        <f t="shared" si="1"/>
        <v>2641999.606243148</v>
      </c>
      <c r="D42" s="376">
        <f t="shared" si="2"/>
        <v>2845443.5892168861</v>
      </c>
      <c r="E42" s="380">
        <f t="shared" si="7"/>
        <v>48455047.231423393</v>
      </c>
      <c r="F42" s="299"/>
      <c r="G42" s="19">
        <f t="shared" si="5"/>
        <v>2059</v>
      </c>
      <c r="H42" s="370">
        <f>'TT &amp; OS'!H36</f>
        <v>3506963.0456762766</v>
      </c>
      <c r="I42" s="360">
        <f>'TT &amp; OS'!H72</f>
        <v>2161247.1938826405</v>
      </c>
      <c r="J42" s="528">
        <f>Safety!I33</f>
        <v>330590.4179590313</v>
      </c>
      <c r="K42" s="425">
        <f>'Environmental Protection'!I33</f>
        <v>293508</v>
      </c>
      <c r="L42" s="417">
        <f>'Environmental Protection'!H33</f>
        <v>810711</v>
      </c>
      <c r="M42" s="360">
        <f t="shared" si="8"/>
        <v>7103019.6575179482</v>
      </c>
      <c r="N42" s="425">
        <f>(SUM(H42:K42)*NPV!C37)+(L42*NPV!K37)</f>
        <v>2641999.606243148</v>
      </c>
      <c r="O42" s="299"/>
      <c r="P42" s="19">
        <f t="shared" si="6"/>
        <v>2059</v>
      </c>
      <c r="Q42" s="387">
        <f>Costs!G36</f>
        <v>0</v>
      </c>
      <c r="R42" s="388">
        <f>Costs!H38</f>
        <v>-610600</v>
      </c>
      <c r="S42" s="387">
        <f t="shared" si="3"/>
        <v>-610600</v>
      </c>
      <c r="T42" s="388">
        <f>S42*NPV!C39</f>
        <v>-203443.98297373796</v>
      </c>
      <c r="U42" s="299"/>
      <c r="V42" s="299"/>
      <c r="W42" s="299"/>
      <c r="X42" s="299"/>
      <c r="Y42" s="299"/>
      <c r="Z42" s="299"/>
      <c r="AA42" s="299"/>
      <c r="AB42" s="299"/>
      <c r="AC42" s="299"/>
    </row>
    <row r="43" spans="1:29">
      <c r="A43" s="19">
        <f t="shared" si="4"/>
        <v>2060</v>
      </c>
      <c r="B43" s="376">
        <f t="shared" si="0"/>
        <v>-93912.844392086787</v>
      </c>
      <c r="C43" s="377">
        <f t="shared" si="1"/>
        <v>2605388.5524334824</v>
      </c>
      <c r="D43" s="376">
        <f t="shared" si="2"/>
        <v>2699301.3968255692</v>
      </c>
      <c r="E43" s="380">
        <f t="shared" ref="E43:E45" si="10">D43+E42</f>
        <v>51154348.62824896</v>
      </c>
      <c r="F43" s="299"/>
      <c r="G43" s="19">
        <f t="shared" si="5"/>
        <v>2060</v>
      </c>
      <c r="H43" s="370">
        <f>'TT &amp; OS'!H37</f>
        <v>3559567.4913614495</v>
      </c>
      <c r="I43" s="360">
        <f>'TT &amp; OS'!H73</f>
        <v>2193665.9017908447</v>
      </c>
      <c r="J43" s="528">
        <f>Safety!I34</f>
        <v>335549.27422841062</v>
      </c>
      <c r="K43" s="425">
        <f>'Environmental Protection'!I34</f>
        <v>297910</v>
      </c>
      <c r="L43" s="417">
        <f>'Environmental Protection'!H34</f>
        <v>822872</v>
      </c>
      <c r="M43" s="360">
        <f t="shared" si="8"/>
        <v>7209564.6673807055</v>
      </c>
      <c r="N43" s="425">
        <f>(SUM(H43:K43)*NPV!C38)+(L43*NPV!K38)</f>
        <v>2605388.5524334824</v>
      </c>
      <c r="O43" s="299"/>
      <c r="P43" s="19">
        <f t="shared" si="6"/>
        <v>2060</v>
      </c>
      <c r="Q43" s="387">
        <f>Costs!G37</f>
        <v>0</v>
      </c>
      <c r="R43" s="388">
        <f>Costs!H39</f>
        <v>-290600</v>
      </c>
      <c r="S43" s="387">
        <f t="shared" si="3"/>
        <v>-290600</v>
      </c>
      <c r="T43" s="388">
        <f>S43*NPV!C40</f>
        <v>-93912.844392086787</v>
      </c>
      <c r="U43" s="299"/>
      <c r="V43" s="299"/>
      <c r="W43" s="299"/>
      <c r="X43" s="299"/>
      <c r="Y43" s="299"/>
      <c r="Z43" s="299"/>
      <c r="AA43" s="299"/>
      <c r="AB43" s="299"/>
      <c r="AC43" s="299"/>
    </row>
    <row r="44" spans="1:29">
      <c r="A44" s="19">
        <f t="shared" si="4"/>
        <v>2061</v>
      </c>
      <c r="B44" s="376">
        <f t="shared" si="0"/>
        <v>-191393.64753150678</v>
      </c>
      <c r="C44" s="377">
        <f t="shared" si="1"/>
        <v>2569324.6008514515</v>
      </c>
      <c r="D44" s="376">
        <f t="shared" si="2"/>
        <v>2760718.2483829581</v>
      </c>
      <c r="E44" s="380">
        <f t="shared" si="10"/>
        <v>53915066.876631916</v>
      </c>
      <c r="F44" s="299"/>
      <c r="G44" s="19">
        <f t="shared" si="5"/>
        <v>2061</v>
      </c>
      <c r="H44" s="370">
        <f>'TT &amp; OS'!H38</f>
        <v>3612961.0037318817</v>
      </c>
      <c r="I44" s="360">
        <f>'TT &amp; OS'!H74</f>
        <v>2226570.8903177166</v>
      </c>
      <c r="J44" s="528">
        <f>Safety!I35</f>
        <v>340582.51334183803</v>
      </c>
      <c r="K44" s="425">
        <f>'Environmental Protection'!I35</f>
        <v>302380</v>
      </c>
      <c r="L44" s="417">
        <f>'Environmental Protection'!H35</f>
        <v>835215</v>
      </c>
      <c r="M44" s="360">
        <f t="shared" si="8"/>
        <v>7317709.4073914364</v>
      </c>
      <c r="N44" s="425">
        <f>(SUM(H44:K44)*NPV!C39)+(L44*NPV!K39)</f>
        <v>2569324.6008514515</v>
      </c>
      <c r="O44" s="299"/>
      <c r="P44" s="19">
        <f t="shared" si="6"/>
        <v>2061</v>
      </c>
      <c r="Q44" s="387">
        <f>Costs!G38</f>
        <v>0</v>
      </c>
      <c r="R44" s="388">
        <f>Costs!H40</f>
        <v>-610600</v>
      </c>
      <c r="S44" s="387">
        <f t="shared" si="3"/>
        <v>-610600</v>
      </c>
      <c r="T44" s="388">
        <f>S44*NPV!C41</f>
        <v>-191393.64753150678</v>
      </c>
      <c r="U44" s="299"/>
      <c r="V44" s="299"/>
      <c r="W44" s="299"/>
      <c r="X44" s="299"/>
      <c r="Y44" s="299"/>
      <c r="Z44" s="299"/>
      <c r="AA44" s="299"/>
      <c r="AB44" s="299"/>
      <c r="AC44" s="299"/>
    </row>
    <row r="45" spans="1:29">
      <c r="A45" s="19">
        <f t="shared" si="4"/>
        <v>2062</v>
      </c>
      <c r="B45" s="376">
        <f t="shared" si="0"/>
        <v>1892993.2762231517</v>
      </c>
      <c r="C45" s="377">
        <f t="shared" si="1"/>
        <v>2533798.1633530897</v>
      </c>
      <c r="D45" s="376">
        <f t="shared" si="2"/>
        <v>640804.887129938</v>
      </c>
      <c r="E45" s="380">
        <f t="shared" si="10"/>
        <v>54555871.763761856</v>
      </c>
      <c r="F45" s="299"/>
      <c r="G45" s="19">
        <f t="shared" si="5"/>
        <v>2062</v>
      </c>
      <c r="H45" s="370">
        <f>'TT &amp; OS'!H39</f>
        <v>3667155.4187877462</v>
      </c>
      <c r="I45" s="360">
        <f>'TT &amp; OS'!H75</f>
        <v>2259969.4536724817</v>
      </c>
      <c r="J45" s="528">
        <f>Safety!I36</f>
        <v>345691.25104196568</v>
      </c>
      <c r="K45" s="425">
        <f>'Environmental Protection'!I36</f>
        <v>306915</v>
      </c>
      <c r="L45" s="417">
        <f>'Environmental Protection'!H36</f>
        <v>847743</v>
      </c>
      <c r="M45" s="360">
        <f t="shared" si="8"/>
        <v>7427474.123502193</v>
      </c>
      <c r="N45" s="425">
        <f>(SUM(H45:K45)*NPV!C40)+(L45*NPV!K40)</f>
        <v>2533798.1633530897</v>
      </c>
      <c r="O45" s="299"/>
      <c r="P45" s="19">
        <f t="shared" si="6"/>
        <v>2062</v>
      </c>
      <c r="Q45" s="387">
        <f>Costs!G39</f>
        <v>0</v>
      </c>
      <c r="R45" s="388">
        <f>Costs!H41</f>
        <v>6226400</v>
      </c>
      <c r="S45" s="387">
        <f t="shared" si="3"/>
        <v>6226400</v>
      </c>
      <c r="T45" s="388">
        <f>S45*NPV!C42</f>
        <v>1892993.2762231517</v>
      </c>
      <c r="U45" s="299"/>
      <c r="V45" s="299"/>
      <c r="W45" s="299"/>
      <c r="X45" s="299"/>
      <c r="Y45" s="299"/>
      <c r="Z45" s="299"/>
      <c r="AA45" s="299"/>
      <c r="AB45" s="299"/>
      <c r="AC45" s="299"/>
    </row>
    <row r="46" spans="1:29" ht="13.5" thickBot="1">
      <c r="A46" s="35">
        <f t="shared" si="4"/>
        <v>2063</v>
      </c>
      <c r="B46" s="381">
        <f t="shared" si="0"/>
        <v>-4706372.2608455466</v>
      </c>
      <c r="C46" s="382">
        <f t="shared" si="1"/>
        <v>2498802.0997171984</v>
      </c>
      <c r="D46" s="381">
        <f t="shared" si="2"/>
        <v>7205174.3605627455</v>
      </c>
      <c r="E46" s="382">
        <f>D46+E45</f>
        <v>61761046.124324605</v>
      </c>
      <c r="F46" s="299"/>
      <c r="G46" s="33">
        <f t="shared" si="5"/>
        <v>2063</v>
      </c>
      <c r="H46" s="371">
        <f>'TT &amp; OS'!H40</f>
        <v>3722162.7500696448</v>
      </c>
      <c r="I46" s="365">
        <f>'TT &amp; OS'!H76</f>
        <v>2293868.9954775432</v>
      </c>
      <c r="J46" s="529">
        <f>Safety!I37</f>
        <v>350876.61980759143</v>
      </c>
      <c r="K46" s="426">
        <f>'Environmental Protection'!I37</f>
        <v>311519</v>
      </c>
      <c r="L46" s="424">
        <f>'Environmental Protection'!H37</f>
        <v>860459</v>
      </c>
      <c r="M46" s="365">
        <f t="shared" si="8"/>
        <v>7538886.3653547801</v>
      </c>
      <c r="N46" s="426">
        <f>(SUM(H46:K46)*NPV!C41)+(L46*NPV!K41)</f>
        <v>2498802.0997171984</v>
      </c>
      <c r="O46" s="299"/>
      <c r="P46" s="35">
        <f t="shared" si="6"/>
        <v>2063</v>
      </c>
      <c r="Q46" s="387">
        <f>Costs!G40</f>
        <v>-15960000</v>
      </c>
      <c r="R46" s="388">
        <f>Costs!H42</f>
        <v>0</v>
      </c>
      <c r="S46" s="387">
        <f t="shared" si="3"/>
        <v>-15960000</v>
      </c>
      <c r="T46" s="388">
        <f>S46*NPV!C43</f>
        <v>-4706372.2608455466</v>
      </c>
      <c r="U46" s="299"/>
      <c r="V46" s="299"/>
      <c r="W46" s="299"/>
      <c r="X46" s="299"/>
      <c r="Y46" s="299"/>
      <c r="Z46" s="299"/>
      <c r="AA46" s="299"/>
      <c r="AB46" s="299"/>
      <c r="AC46" s="299"/>
    </row>
    <row r="47" spans="1:29" ht="13.5" thickTop="1">
      <c r="A47" s="383" t="s">
        <v>51</v>
      </c>
      <c r="B47" s="384">
        <f>SUM(B12:B46)</f>
        <v>29453933.541484695</v>
      </c>
      <c r="C47" s="385">
        <f>SUM(C12:C46)</f>
        <v>91214979.665809274</v>
      </c>
      <c r="D47" s="384">
        <f>SUM(D12:D46)</f>
        <v>61761046.124324605</v>
      </c>
      <c r="E47" s="385"/>
      <c r="F47" s="299"/>
      <c r="G47" s="308"/>
      <c r="H47" s="555">
        <f>SUM(H17:H46)</f>
        <v>90403933.312939435</v>
      </c>
      <c r="I47" s="555">
        <f>SUM(I17:I46)</f>
        <v>55866392.790468715</v>
      </c>
      <c r="J47" s="555">
        <f t="shared" ref="J47:K47" si="11">SUM(J17:J46)</f>
        <v>8545479.7557355706</v>
      </c>
      <c r="K47" s="555">
        <f t="shared" si="11"/>
        <v>7586936</v>
      </c>
      <c r="L47" s="427" t="s">
        <v>64</v>
      </c>
      <c r="M47" s="418">
        <f>SUM(M12:M46)</f>
        <v>181775249.85914367</v>
      </c>
      <c r="N47" s="428">
        <f>SUM(N12:N46)</f>
        <v>91214979.665809274</v>
      </c>
      <c r="O47" s="299"/>
      <c r="P47" s="307"/>
      <c r="Q47" s="340"/>
      <c r="R47" s="386" t="s">
        <v>65</v>
      </c>
      <c r="S47" s="389">
        <f>SUM(S12:S46)</f>
        <v>36392800</v>
      </c>
      <c r="T47" s="390">
        <f>SUM(T12:T46)</f>
        <v>29453933.541484695</v>
      </c>
      <c r="U47" s="299"/>
      <c r="V47" s="299"/>
      <c r="W47" s="299"/>
      <c r="X47" s="299"/>
      <c r="Y47" s="299"/>
      <c r="Z47" s="299"/>
      <c r="AA47" s="299"/>
      <c r="AB47" s="299"/>
      <c r="AC47" s="299"/>
    </row>
    <row r="48" spans="1:29" ht="15.75">
      <c r="A48" s="416" t="s">
        <v>66</v>
      </c>
      <c r="B48" s="299"/>
      <c r="C48" s="299"/>
      <c r="D48" s="299"/>
      <c r="E48" s="299"/>
      <c r="F48" s="299"/>
      <c r="G48" s="299"/>
      <c r="H48" s="299"/>
      <c r="I48" s="299"/>
      <c r="J48" s="299"/>
      <c r="K48" s="299"/>
      <c r="L48" s="396">
        <f>SUM(L17:L46)</f>
        <v>19372508</v>
      </c>
      <c r="M48" s="299"/>
      <c r="N48" s="299"/>
      <c r="O48" s="299"/>
      <c r="P48" s="299"/>
      <c r="Q48" s="299"/>
      <c r="R48" s="299"/>
      <c r="S48" s="299"/>
      <c r="T48" s="299"/>
      <c r="U48" s="299"/>
      <c r="V48" s="299"/>
      <c r="W48" s="299"/>
      <c r="X48" s="299"/>
      <c r="Y48" s="299"/>
      <c r="Z48" s="299"/>
      <c r="AA48" s="299"/>
      <c r="AB48" s="299"/>
      <c r="AC48" s="299"/>
    </row>
    <row r="49" spans="1:29">
      <c r="B49" s="299"/>
      <c r="C49" s="299"/>
      <c r="D49" s="299"/>
      <c r="E49" s="299"/>
      <c r="F49" s="299"/>
      <c r="G49" s="299"/>
      <c r="H49" s="533">
        <f>SUM(H17:H46)/$M$47</f>
        <v>0.49733906779384318</v>
      </c>
      <c r="I49" s="533">
        <f>SUM(I17:I46)/$M$47</f>
        <v>0.30733773070733877</v>
      </c>
      <c r="J49" s="533">
        <f>SUM(J17:J46)/$M$47</f>
        <v>4.7011239221826956E-2</v>
      </c>
      <c r="K49" s="533">
        <f>SUM(K17:K46)/$M$47</f>
        <v>4.1738003418392004E-2</v>
      </c>
      <c r="L49" s="533">
        <f>SUM(L17:L46)/$M$47</f>
        <v>0.10657395885859938</v>
      </c>
      <c r="M49" s="299"/>
      <c r="N49" s="299"/>
      <c r="O49" s="299"/>
      <c r="P49" s="299"/>
      <c r="Q49" s="299"/>
      <c r="R49" s="299"/>
      <c r="S49" s="299"/>
      <c r="T49" s="299"/>
      <c r="U49" s="299"/>
      <c r="V49" s="299"/>
      <c r="W49" s="299"/>
      <c r="X49" s="299"/>
      <c r="Y49" s="299"/>
      <c r="Z49" s="299"/>
      <c r="AA49" s="299"/>
      <c r="AB49" s="299"/>
      <c r="AC49" s="299"/>
    </row>
    <row r="50" spans="1:29">
      <c r="B50" s="299"/>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row>
    <row r="51" spans="1:29">
      <c r="A51" s="299"/>
      <c r="B51" s="299"/>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row>
    <row r="52" spans="1:29">
      <c r="A52" s="299"/>
      <c r="B52" s="299"/>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row>
    <row r="53" spans="1:29">
      <c r="A53" s="299"/>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row>
    <row r="54" spans="1:29">
      <c r="A54" s="299"/>
      <c r="B54" s="299"/>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row>
    <row r="55" spans="1:29">
      <c r="A55" s="299"/>
      <c r="B55" s="299"/>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row>
    <row r="56" spans="1:29">
      <c r="A56" s="299"/>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row>
    <row r="57" spans="1:29">
      <c r="A57" s="299"/>
      <c r="B57" s="299"/>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row>
    <row r="58" spans="1:29">
      <c r="A58" s="299"/>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row>
    <row r="59" spans="1:29">
      <c r="A59" s="299"/>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row>
    <row r="60" spans="1:29">
      <c r="A60" s="299"/>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row>
    <row r="61" spans="1:29">
      <c r="A61" s="299"/>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row>
    <row r="62" spans="1:29">
      <c r="A62" s="299"/>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row>
    <row r="63" spans="1:29">
      <c r="A63" s="299"/>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row>
    <row r="64" spans="1:29">
      <c r="A64" s="299"/>
      <c r="B64" s="299"/>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row>
    <row r="65" spans="1:29">
      <c r="A65" s="299"/>
      <c r="B65" s="299"/>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row>
    <row r="66" spans="1:29">
      <c r="A66" s="299"/>
      <c r="B66" s="299"/>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row>
    <row r="67" spans="1:29">
      <c r="A67" s="299"/>
      <c r="B67" s="299"/>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row>
    <row r="68" spans="1:29">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row>
    <row r="69" spans="1:29">
      <c r="A69" s="299"/>
      <c r="B69" s="299"/>
      <c r="C69" s="299"/>
      <c r="D69" s="299"/>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row>
    <row r="70" spans="1:29">
      <c r="A70" s="299"/>
      <c r="B70" s="299"/>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row>
    <row r="71" spans="1:29">
      <c r="A71" s="299"/>
      <c r="B71" s="299"/>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row>
    <row r="72" spans="1:29">
      <c r="A72" s="299"/>
      <c r="B72" s="299"/>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row>
    <row r="73" spans="1:29">
      <c r="A73" s="299"/>
      <c r="B73" s="299"/>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row>
    <row r="74" spans="1:29">
      <c r="A74" s="299"/>
      <c r="B74" s="299"/>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row>
    <row r="75" spans="1:29">
      <c r="A75" s="299"/>
      <c r="B75" s="299"/>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row>
    <row r="76" spans="1:29">
      <c r="A76" s="299"/>
      <c r="B76" s="299"/>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row>
    <row r="77" spans="1:29">
      <c r="A77" s="299"/>
      <c r="B77" s="299"/>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row>
    <row r="78" spans="1:29">
      <c r="A78" s="299"/>
      <c r="B78" s="299"/>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row>
    <row r="79" spans="1:29">
      <c r="A79" s="299"/>
      <c r="B79" s="299"/>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row>
    <row r="80" spans="1:29">
      <c r="A80" s="299"/>
      <c r="B80" s="299"/>
      <c r="C80" s="299"/>
      <c r="D80" s="299"/>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row>
    <row r="81" spans="1:29">
      <c r="A81" s="299"/>
      <c r="B81" s="299"/>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row>
    <row r="82" spans="1:29">
      <c r="A82" s="299"/>
      <c r="B82" s="299"/>
      <c r="C82" s="299"/>
      <c r="D82" s="299"/>
      <c r="E82" s="299"/>
      <c r="F82" s="299"/>
      <c r="G82" s="299"/>
      <c r="H82" s="299"/>
      <c r="I82" s="299"/>
      <c r="J82" s="299"/>
      <c r="K82" s="299"/>
      <c r="L82" s="299"/>
      <c r="M82" s="299"/>
      <c r="N82" s="299"/>
      <c r="O82" s="299"/>
      <c r="P82" s="299"/>
      <c r="Q82" s="299"/>
      <c r="R82" s="299"/>
      <c r="S82" s="299"/>
      <c r="T82" s="299"/>
      <c r="U82" s="299"/>
      <c r="V82" s="299"/>
      <c r="W82" s="299"/>
      <c r="X82" s="299"/>
      <c r="Y82" s="299"/>
      <c r="Z82" s="299"/>
      <c r="AA82" s="299"/>
      <c r="AB82" s="299"/>
      <c r="AC82" s="299"/>
    </row>
    <row r="83" spans="1:29">
      <c r="A83" s="299"/>
      <c r="B83" s="299"/>
      <c r="C83" s="299"/>
      <c r="D83" s="299"/>
      <c r="E83" s="299"/>
      <c r="F83" s="299"/>
      <c r="G83" s="299"/>
      <c r="H83" s="299"/>
      <c r="I83" s="299"/>
      <c r="J83" s="299"/>
      <c r="K83" s="299"/>
      <c r="L83" s="299"/>
      <c r="M83" s="299"/>
      <c r="N83" s="299"/>
      <c r="O83" s="299"/>
      <c r="P83" s="299"/>
      <c r="Q83" s="299"/>
      <c r="R83" s="299"/>
      <c r="S83" s="299"/>
      <c r="T83" s="299"/>
      <c r="U83" s="299"/>
      <c r="V83" s="299"/>
      <c r="W83" s="299"/>
      <c r="X83" s="299"/>
      <c r="Y83" s="299"/>
      <c r="Z83" s="299"/>
      <c r="AA83" s="299"/>
      <c r="AB83" s="299"/>
      <c r="AC83" s="299"/>
    </row>
    <row r="84" spans="1:29">
      <c r="A84" s="299"/>
      <c r="B84" s="299"/>
      <c r="C84" s="299"/>
      <c r="D84" s="299"/>
      <c r="E84" s="299"/>
      <c r="F84" s="299"/>
      <c r="G84" s="299"/>
      <c r="H84" s="299"/>
      <c r="I84" s="299"/>
      <c r="J84" s="299"/>
      <c r="K84" s="299"/>
      <c r="L84" s="299"/>
      <c r="M84" s="299"/>
      <c r="N84" s="299"/>
      <c r="O84" s="299"/>
      <c r="P84" s="299"/>
      <c r="Q84" s="299"/>
      <c r="R84" s="299"/>
      <c r="S84" s="299"/>
      <c r="T84" s="299"/>
      <c r="U84" s="299"/>
      <c r="V84" s="299"/>
      <c r="W84" s="299"/>
      <c r="X84" s="299"/>
      <c r="Y84" s="299"/>
      <c r="Z84" s="299"/>
      <c r="AA84" s="299"/>
      <c r="AB84" s="299"/>
      <c r="AC84" s="299"/>
    </row>
    <row r="85" spans="1:29">
      <c r="A85" s="299"/>
      <c r="B85" s="299"/>
      <c r="C85" s="299"/>
      <c r="D85" s="299"/>
      <c r="E85" s="299"/>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row>
    <row r="86" spans="1:29">
      <c r="A86" s="299"/>
      <c r="B86" s="299"/>
      <c r="C86" s="299"/>
      <c r="D86" s="299"/>
      <c r="E86" s="299"/>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row>
    <row r="87" spans="1:29">
      <c r="A87" s="299"/>
      <c r="B87" s="299"/>
      <c r="C87" s="299"/>
      <c r="D87" s="299"/>
      <c r="E87" s="299"/>
      <c r="F87" s="299"/>
      <c r="G87" s="299"/>
      <c r="H87" s="299"/>
      <c r="I87" s="299"/>
      <c r="J87" s="299"/>
      <c r="K87" s="299"/>
      <c r="L87" s="299"/>
      <c r="M87" s="299"/>
      <c r="N87" s="299"/>
      <c r="O87" s="299"/>
      <c r="P87" s="299"/>
      <c r="Q87" s="299"/>
      <c r="R87" s="299"/>
      <c r="S87" s="299"/>
      <c r="T87" s="299"/>
      <c r="U87" s="299"/>
      <c r="V87" s="299"/>
      <c r="W87" s="299"/>
      <c r="X87" s="299"/>
      <c r="Y87" s="299"/>
      <c r="Z87" s="299"/>
      <c r="AA87" s="299"/>
      <c r="AB87" s="299"/>
      <c r="AC87" s="299"/>
    </row>
    <row r="88" spans="1:29">
      <c r="A88" s="299"/>
      <c r="B88" s="299"/>
      <c r="C88" s="299"/>
      <c r="D88" s="299"/>
      <c r="E88" s="299"/>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row>
    <row r="89" spans="1:29">
      <c r="A89" s="299"/>
      <c r="B89" s="299"/>
      <c r="C89" s="299"/>
      <c r="D89" s="299"/>
      <c r="E89" s="299"/>
      <c r="F89" s="299"/>
      <c r="G89" s="299"/>
      <c r="H89" s="299"/>
      <c r="I89" s="299"/>
      <c r="J89" s="299"/>
      <c r="K89" s="299"/>
      <c r="L89" s="299"/>
      <c r="M89" s="299"/>
      <c r="N89" s="299"/>
      <c r="O89" s="299"/>
      <c r="P89" s="299"/>
      <c r="Q89" s="299"/>
      <c r="R89" s="299"/>
      <c r="S89" s="299"/>
      <c r="T89" s="299"/>
      <c r="U89" s="299"/>
      <c r="V89" s="299"/>
      <c r="W89" s="299"/>
      <c r="X89" s="299"/>
      <c r="Y89" s="299"/>
      <c r="Z89" s="299"/>
      <c r="AA89" s="299"/>
      <c r="AB89" s="299"/>
      <c r="AC89" s="299"/>
    </row>
    <row r="90" spans="1:29">
      <c r="A90" s="299"/>
      <c r="B90" s="299"/>
      <c r="C90" s="299"/>
      <c r="D90" s="299"/>
      <c r="E90" s="299"/>
      <c r="F90" s="299"/>
      <c r="G90" s="299"/>
      <c r="H90" s="299"/>
      <c r="I90" s="299"/>
      <c r="J90" s="299"/>
      <c r="K90" s="299"/>
      <c r="L90" s="299"/>
      <c r="M90" s="299"/>
      <c r="N90" s="299"/>
      <c r="O90" s="299"/>
      <c r="P90" s="299"/>
      <c r="Q90" s="299"/>
      <c r="R90" s="299"/>
      <c r="S90" s="299"/>
      <c r="T90" s="299"/>
      <c r="U90" s="299"/>
      <c r="V90" s="299"/>
      <c r="W90" s="299"/>
      <c r="X90" s="299"/>
      <c r="Y90" s="299"/>
      <c r="Z90" s="299"/>
      <c r="AA90" s="299"/>
      <c r="AB90" s="299"/>
      <c r="AC90" s="299"/>
    </row>
    <row r="91" spans="1:29">
      <c r="A91" s="299"/>
      <c r="B91" s="299"/>
      <c r="C91" s="299"/>
      <c r="D91" s="299"/>
      <c r="E91" s="299"/>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row>
    <row r="92" spans="1:29">
      <c r="A92" s="299"/>
      <c r="B92" s="299"/>
      <c r="C92" s="299"/>
      <c r="D92" s="299"/>
      <c r="E92" s="299"/>
      <c r="F92" s="299"/>
      <c r="G92" s="299"/>
      <c r="H92" s="299"/>
      <c r="I92" s="299"/>
      <c r="J92" s="299"/>
      <c r="K92" s="299"/>
      <c r="L92" s="299"/>
      <c r="M92" s="299"/>
      <c r="N92" s="299"/>
      <c r="O92" s="299"/>
      <c r="P92" s="299"/>
      <c r="Q92" s="299"/>
      <c r="R92" s="299"/>
      <c r="S92" s="299"/>
      <c r="T92" s="299"/>
      <c r="U92" s="299"/>
      <c r="V92" s="299"/>
      <c r="W92" s="299"/>
      <c r="X92" s="299"/>
      <c r="Y92" s="299"/>
      <c r="Z92" s="299"/>
      <c r="AA92" s="299"/>
      <c r="AB92" s="299"/>
      <c r="AC92" s="299"/>
    </row>
    <row r="93" spans="1:29">
      <c r="A93" s="299"/>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299"/>
    </row>
    <row r="94" spans="1:29">
      <c r="A94" s="299"/>
      <c r="B94" s="299"/>
      <c r="C94" s="299"/>
      <c r="D94" s="299"/>
      <c r="E94" s="299"/>
      <c r="F94" s="299"/>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row>
    <row r="95" spans="1:29">
      <c r="A95" s="299"/>
      <c r="B95" s="299"/>
      <c r="C95" s="299"/>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c r="AB95" s="299"/>
      <c r="AC95" s="299"/>
    </row>
    <row r="96" spans="1:29">
      <c r="A96" s="299"/>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299"/>
      <c r="AC96" s="299"/>
    </row>
    <row r="97" spans="1:29">
      <c r="A97" s="299"/>
      <c r="B97" s="299"/>
      <c r="C97" s="299"/>
      <c r="D97" s="299"/>
      <c r="E97" s="299"/>
      <c r="F97" s="299"/>
      <c r="G97" s="299"/>
      <c r="H97" s="299"/>
      <c r="I97" s="299"/>
      <c r="J97" s="299"/>
      <c r="K97" s="299"/>
      <c r="L97" s="299"/>
      <c r="M97" s="299"/>
      <c r="N97" s="299"/>
      <c r="O97" s="299"/>
      <c r="P97" s="299"/>
      <c r="Q97" s="299"/>
      <c r="R97" s="299"/>
      <c r="S97" s="299"/>
      <c r="T97" s="299"/>
      <c r="U97" s="299"/>
      <c r="V97" s="299"/>
      <c r="W97" s="299"/>
      <c r="X97" s="299"/>
      <c r="Y97" s="299"/>
      <c r="Z97" s="299"/>
      <c r="AA97" s="299"/>
      <c r="AB97" s="299"/>
      <c r="AC97" s="299"/>
    </row>
    <row r="98" spans="1:29">
      <c r="A98" s="299"/>
      <c r="B98" s="299"/>
      <c r="C98" s="299"/>
      <c r="D98" s="299"/>
      <c r="E98" s="299"/>
      <c r="F98" s="299"/>
      <c r="G98" s="299"/>
      <c r="H98" s="299"/>
      <c r="I98" s="299"/>
      <c r="J98" s="299"/>
      <c r="K98" s="299"/>
      <c r="L98" s="299"/>
      <c r="M98" s="299"/>
      <c r="N98" s="299"/>
      <c r="O98" s="299"/>
      <c r="P98" s="299"/>
      <c r="Q98" s="299"/>
      <c r="R98" s="299"/>
      <c r="S98" s="299"/>
      <c r="T98" s="299"/>
      <c r="U98" s="299"/>
      <c r="V98" s="299"/>
      <c r="W98" s="299"/>
      <c r="X98" s="299"/>
      <c r="Y98" s="299"/>
      <c r="Z98" s="299"/>
      <c r="AA98" s="299"/>
      <c r="AB98" s="299"/>
      <c r="AC98" s="299"/>
    </row>
    <row r="99" spans="1:29">
      <c r="A99" s="299"/>
      <c r="B99" s="299"/>
      <c r="C99" s="299"/>
      <c r="D99" s="299"/>
      <c r="E99" s="299"/>
      <c r="F99" s="299"/>
      <c r="G99" s="299"/>
      <c r="H99" s="299"/>
      <c r="I99" s="299"/>
      <c r="J99" s="299"/>
      <c r="K99" s="299"/>
      <c r="L99" s="299"/>
      <c r="M99" s="299"/>
      <c r="N99" s="299"/>
      <c r="O99" s="299"/>
      <c r="P99" s="299"/>
      <c r="Q99" s="299"/>
      <c r="R99" s="299"/>
      <c r="S99" s="299"/>
      <c r="T99" s="299"/>
      <c r="U99" s="299"/>
      <c r="V99" s="299"/>
      <c r="W99" s="299"/>
      <c r="X99" s="299"/>
      <c r="Y99" s="299"/>
      <c r="Z99" s="299"/>
      <c r="AA99" s="299"/>
      <c r="AB99" s="299"/>
      <c r="AC99" s="299"/>
    </row>
    <row r="100" spans="1:29">
      <c r="A100" s="299"/>
      <c r="B100" s="299"/>
      <c r="C100" s="299"/>
      <c r="D100" s="299"/>
      <c r="E100" s="299"/>
      <c r="F100" s="299"/>
      <c r="G100" s="299"/>
      <c r="H100" s="299"/>
      <c r="I100" s="299"/>
      <c r="J100" s="299"/>
      <c r="K100" s="299"/>
      <c r="L100" s="299"/>
      <c r="M100" s="299"/>
      <c r="N100" s="299"/>
      <c r="O100" s="299"/>
      <c r="P100" s="299"/>
      <c r="Q100" s="299"/>
      <c r="R100" s="299"/>
      <c r="S100" s="299"/>
      <c r="T100" s="299"/>
      <c r="U100" s="299"/>
      <c r="V100" s="299"/>
      <c r="W100" s="299"/>
      <c r="X100" s="299"/>
      <c r="Y100" s="299"/>
      <c r="Z100" s="299"/>
      <c r="AA100" s="299"/>
      <c r="AB100" s="299"/>
      <c r="AC100" s="299"/>
    </row>
  </sheetData>
  <mergeCells count="14">
    <mergeCell ref="N10:N11"/>
    <mergeCell ref="P9:T10"/>
    <mergeCell ref="A9:E10"/>
    <mergeCell ref="M10:M11"/>
    <mergeCell ref="G10:G11"/>
    <mergeCell ref="H10:I10"/>
    <mergeCell ref="G9:N9"/>
    <mergeCell ref="K10:L10"/>
    <mergeCell ref="J10:J11"/>
    <mergeCell ref="A3:C3"/>
    <mergeCell ref="A4:B4"/>
    <mergeCell ref="A5:B5"/>
    <mergeCell ref="A7:B7"/>
    <mergeCell ref="A6:B6"/>
  </mergeCells>
  <pageMargins left="0.25" right="0.25"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A50"/>
  <sheetViews>
    <sheetView zoomScaleNormal="100" workbookViewId="0">
      <selection activeCell="K45" sqref="K45"/>
    </sheetView>
  </sheetViews>
  <sheetFormatPr defaultRowHeight="12.75"/>
  <cols>
    <col min="5" max="5" width="10.7109375" customWidth="1"/>
    <col min="6" max="6" width="14.5703125" customWidth="1"/>
  </cols>
  <sheetData>
    <row r="1" spans="1:27">
      <c r="A1" s="299"/>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row>
    <row r="2" spans="1:27" ht="16.5" thickBot="1">
      <c r="A2" s="611" t="s">
        <v>67</v>
      </c>
      <c r="B2" s="612"/>
      <c r="C2" s="613"/>
      <c r="D2" s="299"/>
      <c r="E2" s="607" t="s">
        <v>68</v>
      </c>
      <c r="F2" s="616"/>
      <c r="G2" s="299"/>
      <c r="H2" s="299"/>
      <c r="I2" s="611" t="s">
        <v>69</v>
      </c>
      <c r="J2" s="612"/>
      <c r="K2" s="613"/>
      <c r="L2" s="299"/>
      <c r="M2" s="299"/>
      <c r="N2" s="299"/>
      <c r="O2" s="299"/>
      <c r="P2" s="299"/>
      <c r="Q2" s="299"/>
      <c r="R2" s="299"/>
      <c r="S2" s="299"/>
      <c r="T2" s="299"/>
      <c r="U2" s="299"/>
      <c r="V2" s="299"/>
      <c r="W2" s="299"/>
      <c r="X2" s="299"/>
      <c r="Y2" s="299"/>
      <c r="Z2" s="299"/>
      <c r="AA2" s="299"/>
    </row>
    <row r="3" spans="1:27" ht="14.25" thickTop="1" thickBot="1">
      <c r="A3" s="19">
        <v>0</v>
      </c>
      <c r="B3" s="19">
        <v>2023</v>
      </c>
      <c r="C3" s="534">
        <f>1/(1+$C$44)^A3</f>
        <v>1</v>
      </c>
      <c r="D3" s="299"/>
      <c r="E3" s="304" t="s">
        <v>70</v>
      </c>
      <c r="F3" s="305" t="s">
        <v>71</v>
      </c>
      <c r="G3" s="299"/>
      <c r="H3" s="299"/>
      <c r="I3" s="19">
        <v>0</v>
      </c>
      <c r="J3" s="19">
        <v>2023</v>
      </c>
      <c r="K3" s="534">
        <f>1/(1+$K$44)^I3</f>
        <v>1</v>
      </c>
      <c r="L3" s="299"/>
      <c r="M3" s="299"/>
      <c r="N3" s="299"/>
      <c r="O3" s="299"/>
      <c r="P3" s="299"/>
      <c r="Q3" s="299"/>
      <c r="R3" s="299"/>
      <c r="S3" s="299"/>
      <c r="T3" s="299"/>
      <c r="U3" s="299"/>
      <c r="V3" s="299"/>
      <c r="W3" s="299"/>
      <c r="X3" s="299"/>
      <c r="Y3" s="299"/>
      <c r="Z3" s="299"/>
      <c r="AA3" s="299"/>
    </row>
    <row r="4" spans="1:27" ht="13.5" thickTop="1">
      <c r="A4" s="19">
        <f>A3+1</f>
        <v>1</v>
      </c>
      <c r="B4" s="19">
        <f>B3+1</f>
        <v>2024</v>
      </c>
      <c r="C4" s="535">
        <f>1/(1+$C$44)^A4</f>
        <v>0.96993210475266745</v>
      </c>
      <c r="D4" s="299"/>
      <c r="E4" s="19">
        <v>2004</v>
      </c>
      <c r="F4" s="481">
        <v>1.55</v>
      </c>
      <c r="G4" s="299"/>
      <c r="H4" s="299"/>
      <c r="I4" s="19">
        <f>I3+1</f>
        <v>1</v>
      </c>
      <c r="J4" s="19">
        <f>J3+1</f>
        <v>2024</v>
      </c>
      <c r="K4" s="534">
        <f>1/(1+$K$44)^I4</f>
        <v>0.98039215686274506</v>
      </c>
      <c r="L4" s="299"/>
      <c r="M4" s="299"/>
      <c r="N4" s="299"/>
      <c r="O4" s="299"/>
      <c r="P4" s="299"/>
      <c r="Q4" s="299"/>
      <c r="R4" s="299"/>
      <c r="S4" s="299"/>
      <c r="T4" s="299"/>
      <c r="U4" s="299"/>
      <c r="V4" s="299"/>
      <c r="W4" s="299"/>
      <c r="X4" s="299"/>
      <c r="Y4" s="299"/>
      <c r="Z4" s="299"/>
      <c r="AA4" s="299"/>
    </row>
    <row r="5" spans="1:27">
      <c r="A5" s="19">
        <f t="shared" ref="A5:B20" si="0">A4+1</f>
        <v>2</v>
      </c>
      <c r="B5" s="19">
        <f t="shared" si="0"/>
        <v>2025</v>
      </c>
      <c r="C5" s="535">
        <f>1/(1+$C$44)^A5</f>
        <v>0.94076828782993938</v>
      </c>
      <c r="D5" s="299"/>
      <c r="E5" s="19">
        <f>E4+1</f>
        <v>2005</v>
      </c>
      <c r="F5" s="481">
        <v>1.5</v>
      </c>
      <c r="G5" s="299"/>
      <c r="H5" s="299"/>
      <c r="I5" s="19">
        <f t="shared" ref="I5:J20" si="1">I4+1</f>
        <v>2</v>
      </c>
      <c r="J5" s="19">
        <f t="shared" si="1"/>
        <v>2025</v>
      </c>
      <c r="K5" s="534">
        <f t="shared" ref="K5:K42" si="2">1/(1+$K$44)^I5</f>
        <v>0.96116878123798544</v>
      </c>
      <c r="L5" s="299"/>
      <c r="M5" s="299"/>
      <c r="N5" s="299"/>
      <c r="O5" s="299"/>
      <c r="P5" s="299"/>
      <c r="Q5" s="299"/>
      <c r="R5" s="299"/>
      <c r="S5" s="299"/>
      <c r="T5" s="299"/>
      <c r="U5" s="299"/>
      <c r="V5" s="299"/>
      <c r="W5" s="299"/>
      <c r="X5" s="299"/>
      <c r="Y5" s="299"/>
      <c r="Z5" s="299"/>
      <c r="AA5" s="299"/>
    </row>
    <row r="6" spans="1:27">
      <c r="A6" s="19">
        <f t="shared" si="0"/>
        <v>3</v>
      </c>
      <c r="B6" s="19">
        <f t="shared" si="0"/>
        <v>2026</v>
      </c>
      <c r="C6" s="535">
        <f t="shared" ref="C6:C43" si="3">1/(1+$C$44)^A6</f>
        <v>0.91248136549945624</v>
      </c>
      <c r="D6" s="299"/>
      <c r="E6" s="19">
        <f t="shared" ref="E6:E23" si="4">E5+1</f>
        <v>2006</v>
      </c>
      <c r="F6" s="481">
        <v>1.45</v>
      </c>
      <c r="G6" s="299"/>
      <c r="H6" s="299"/>
      <c r="I6" s="19">
        <f t="shared" si="1"/>
        <v>3</v>
      </c>
      <c r="J6" s="19">
        <f t="shared" si="1"/>
        <v>2026</v>
      </c>
      <c r="K6" s="534">
        <f t="shared" si="2"/>
        <v>0.94232233454704462</v>
      </c>
      <c r="L6" s="299"/>
      <c r="M6" s="299"/>
      <c r="N6" s="299"/>
      <c r="O6" s="299"/>
      <c r="P6" s="299"/>
      <c r="Q6" s="299"/>
      <c r="R6" s="299"/>
      <c r="S6" s="299"/>
      <c r="T6" s="299"/>
      <c r="U6" s="299"/>
      <c r="V6" s="299"/>
      <c r="W6" s="299"/>
      <c r="X6" s="299"/>
      <c r="Y6" s="299"/>
      <c r="Z6" s="299"/>
      <c r="AA6" s="299"/>
    </row>
    <row r="7" spans="1:27">
      <c r="A7" s="19">
        <f t="shared" si="0"/>
        <v>4</v>
      </c>
      <c r="B7" s="19">
        <f t="shared" si="0"/>
        <v>2027</v>
      </c>
      <c r="C7" s="535">
        <f t="shared" si="3"/>
        <v>0.88504497138647553</v>
      </c>
      <c r="D7" s="299"/>
      <c r="E7" s="19">
        <f t="shared" si="4"/>
        <v>2007</v>
      </c>
      <c r="F7" s="481">
        <v>1.42</v>
      </c>
      <c r="G7" s="299"/>
      <c r="H7" s="299"/>
      <c r="I7" s="19">
        <f t="shared" si="1"/>
        <v>4</v>
      </c>
      <c r="J7" s="19">
        <f t="shared" si="1"/>
        <v>2027</v>
      </c>
      <c r="K7" s="534">
        <f t="shared" si="2"/>
        <v>0.9238454260265142</v>
      </c>
      <c r="L7" s="299"/>
      <c r="M7" s="299"/>
      <c r="N7" s="299"/>
      <c r="O7" s="299"/>
      <c r="P7" s="299"/>
      <c r="Q7" s="299"/>
      <c r="R7" s="299"/>
      <c r="S7" s="299"/>
      <c r="T7" s="299"/>
      <c r="U7" s="299"/>
      <c r="V7" s="299"/>
      <c r="W7" s="299"/>
      <c r="X7" s="299"/>
      <c r="Y7" s="299"/>
      <c r="Z7" s="299"/>
      <c r="AA7" s="299"/>
    </row>
    <row r="8" spans="1:27">
      <c r="A8" s="19">
        <f t="shared" si="0"/>
        <v>5</v>
      </c>
      <c r="B8" s="19">
        <f t="shared" si="0"/>
        <v>2028</v>
      </c>
      <c r="C8" s="535">
        <f t="shared" si="3"/>
        <v>0.85843353189764848</v>
      </c>
      <c r="D8" s="299"/>
      <c r="E8" s="19">
        <f t="shared" si="4"/>
        <v>2008</v>
      </c>
      <c r="F8" s="481">
        <v>1.39</v>
      </c>
      <c r="G8" s="299"/>
      <c r="H8" s="299"/>
      <c r="I8" s="19">
        <f t="shared" si="1"/>
        <v>5</v>
      </c>
      <c r="J8" s="19">
        <f t="shared" si="1"/>
        <v>2028</v>
      </c>
      <c r="K8" s="534">
        <f t="shared" si="2"/>
        <v>0.90573080982991594</v>
      </c>
      <c r="L8" s="299"/>
      <c r="M8" s="299"/>
      <c r="N8" s="299"/>
      <c r="O8" s="299"/>
      <c r="P8" s="299"/>
      <c r="Q8" s="299"/>
      <c r="R8" s="299"/>
      <c r="S8" s="299"/>
      <c r="T8" s="299"/>
      <c r="U8" s="299"/>
      <c r="V8" s="299"/>
      <c r="W8" s="299"/>
      <c r="X8" s="299"/>
      <c r="Y8" s="299"/>
      <c r="Z8" s="299"/>
      <c r="AA8" s="299"/>
    </row>
    <row r="9" spans="1:27">
      <c r="A9" s="19">
        <f t="shared" si="0"/>
        <v>6</v>
      </c>
      <c r="B9" s="19">
        <f t="shared" si="0"/>
        <v>2029</v>
      </c>
      <c r="C9" s="535">
        <f>1/(1+$C$44)^A9</f>
        <v>0.83262224238375215</v>
      </c>
      <c r="D9" s="299"/>
      <c r="E9" s="19">
        <f t="shared" si="4"/>
        <v>2009</v>
      </c>
      <c r="F9" s="481">
        <v>1.38</v>
      </c>
      <c r="G9" s="299"/>
      <c r="H9" s="299"/>
      <c r="I9" s="19">
        <f t="shared" si="1"/>
        <v>6</v>
      </c>
      <c r="J9" s="19">
        <f t="shared" si="1"/>
        <v>2029</v>
      </c>
      <c r="K9" s="534">
        <f t="shared" si="2"/>
        <v>0.88797138218619198</v>
      </c>
      <c r="L9" s="299"/>
      <c r="M9" s="299"/>
      <c r="N9" s="299"/>
      <c r="O9" s="299"/>
      <c r="P9" s="299"/>
      <c r="Q9" s="299"/>
      <c r="R9" s="299"/>
      <c r="S9" s="299"/>
      <c r="T9" s="299"/>
      <c r="U9" s="299"/>
      <c r="V9" s="299"/>
      <c r="W9" s="299"/>
      <c r="X9" s="299"/>
      <c r="Y9" s="299"/>
      <c r="Z9" s="299"/>
      <c r="AA9" s="299"/>
    </row>
    <row r="10" spans="1:27">
      <c r="A10" s="19">
        <f t="shared" si="0"/>
        <v>7</v>
      </c>
      <c r="B10" s="19">
        <f t="shared" si="0"/>
        <v>2030</v>
      </c>
      <c r="C10" s="535">
        <f t="shared" si="3"/>
        <v>0.80758704401915837</v>
      </c>
      <c r="D10" s="299"/>
      <c r="E10" s="19">
        <f t="shared" si="4"/>
        <v>2010</v>
      </c>
      <c r="F10" s="481">
        <v>1.36</v>
      </c>
      <c r="G10" s="299"/>
      <c r="H10" s="299"/>
      <c r="I10" s="19">
        <f t="shared" si="1"/>
        <v>7</v>
      </c>
      <c r="J10" s="19">
        <f t="shared" si="1"/>
        <v>2030</v>
      </c>
      <c r="K10" s="534">
        <f t="shared" si="2"/>
        <v>0.87056017861391388</v>
      </c>
      <c r="L10" s="299"/>
      <c r="M10" s="299"/>
      <c r="N10" s="299"/>
      <c r="O10" s="299"/>
      <c r="P10" s="299"/>
      <c r="Q10" s="299"/>
      <c r="R10" s="299"/>
      <c r="S10" s="299"/>
      <c r="T10" s="299"/>
      <c r="U10" s="299"/>
      <c r="V10" s="299"/>
      <c r="W10" s="299"/>
      <c r="X10" s="299"/>
      <c r="Y10" s="299"/>
      <c r="Z10" s="299"/>
      <c r="AA10" s="299"/>
    </row>
    <row r="11" spans="1:27">
      <c r="A11" s="19">
        <f t="shared" si="0"/>
        <v>8</v>
      </c>
      <c r="B11" s="19">
        <f t="shared" si="0"/>
        <v>2031</v>
      </c>
      <c r="C11" s="535">
        <f t="shared" si="3"/>
        <v>0.78330460137648728</v>
      </c>
      <c r="D11" s="299"/>
      <c r="E11" s="19">
        <f t="shared" si="4"/>
        <v>2011</v>
      </c>
      <c r="F11" s="481">
        <v>1.34</v>
      </c>
      <c r="G11" s="299"/>
      <c r="H11" s="299"/>
      <c r="I11" s="19">
        <f t="shared" si="1"/>
        <v>8</v>
      </c>
      <c r="J11" s="19">
        <f t="shared" si="1"/>
        <v>2031</v>
      </c>
      <c r="K11" s="534">
        <f t="shared" si="2"/>
        <v>0.85349037119011162</v>
      </c>
      <c r="L11" s="299"/>
      <c r="M11" s="299"/>
      <c r="N11" s="299"/>
      <c r="O11" s="299"/>
      <c r="P11" s="299"/>
      <c r="Q11" s="299"/>
      <c r="R11" s="299"/>
      <c r="S11" s="299"/>
      <c r="T11" s="299"/>
      <c r="U11" s="299"/>
      <c r="V11" s="299"/>
      <c r="W11" s="299"/>
      <c r="X11" s="299"/>
      <c r="Y11" s="299"/>
      <c r="Z11" s="299"/>
      <c r="AA11" s="299"/>
    </row>
    <row r="12" spans="1:27">
      <c r="A12" s="19">
        <f t="shared" si="0"/>
        <v>9</v>
      </c>
      <c r="B12" s="19">
        <f t="shared" si="0"/>
        <v>2032</v>
      </c>
      <c r="C12" s="535">
        <f t="shared" si="3"/>
        <v>0.75975228067554545</v>
      </c>
      <c r="D12" s="299"/>
      <c r="E12" s="19">
        <f t="shared" si="4"/>
        <v>2012</v>
      </c>
      <c r="F12" s="481">
        <v>1.31</v>
      </c>
      <c r="G12" s="299"/>
      <c r="H12" s="299"/>
      <c r="I12" s="19">
        <f t="shared" si="1"/>
        <v>9</v>
      </c>
      <c r="J12" s="19">
        <f t="shared" si="1"/>
        <v>2032</v>
      </c>
      <c r="K12" s="534">
        <f t="shared" si="2"/>
        <v>0.83675526587265847</v>
      </c>
      <c r="L12" s="299"/>
      <c r="M12" s="299"/>
      <c r="N12" s="299"/>
      <c r="O12" s="299"/>
      <c r="P12" s="299"/>
      <c r="Q12" s="299"/>
      <c r="R12" s="299"/>
      <c r="S12" s="299"/>
      <c r="T12" s="299"/>
      <c r="U12" s="299"/>
      <c r="V12" s="299"/>
      <c r="W12" s="299"/>
      <c r="X12" s="299"/>
      <c r="Y12" s="299"/>
      <c r="Z12" s="299"/>
      <c r="AA12" s="299"/>
    </row>
    <row r="13" spans="1:27">
      <c r="A13" s="19">
        <f t="shared" si="0"/>
        <v>10</v>
      </c>
      <c r="B13" s="19">
        <f t="shared" si="0"/>
        <v>2033</v>
      </c>
      <c r="C13" s="535">
        <f t="shared" si="3"/>
        <v>0.73690812868627109</v>
      </c>
      <c r="D13" s="299"/>
      <c r="E13" s="19">
        <f t="shared" si="4"/>
        <v>2013</v>
      </c>
      <c r="F13" s="481">
        <v>1.29</v>
      </c>
      <c r="G13" s="299"/>
      <c r="H13" s="299"/>
      <c r="I13" s="19">
        <f t="shared" si="1"/>
        <v>10</v>
      </c>
      <c r="J13" s="19">
        <f t="shared" si="1"/>
        <v>2033</v>
      </c>
      <c r="K13" s="534">
        <f t="shared" si="2"/>
        <v>0.82034829987515534</v>
      </c>
      <c r="L13" s="299"/>
      <c r="M13" s="299"/>
      <c r="N13" s="299"/>
      <c r="O13" s="299"/>
      <c r="P13" s="299"/>
      <c r="Q13" s="299"/>
      <c r="R13" s="299"/>
      <c r="S13" s="299"/>
      <c r="T13" s="299"/>
      <c r="U13" s="299"/>
      <c r="V13" s="299"/>
      <c r="W13" s="299"/>
      <c r="X13" s="299"/>
      <c r="Y13" s="299"/>
      <c r="Z13" s="299"/>
      <c r="AA13" s="299"/>
    </row>
    <row r="14" spans="1:27">
      <c r="A14" s="19">
        <f t="shared" si="0"/>
        <v>11</v>
      </c>
      <c r="B14" s="19">
        <f t="shared" si="0"/>
        <v>2034</v>
      </c>
      <c r="C14" s="535">
        <f>1/(1+$C$44)^A14</f>
        <v>0.71475085226602442</v>
      </c>
      <c r="D14" s="299"/>
      <c r="E14" s="19">
        <f t="shared" si="4"/>
        <v>2014</v>
      </c>
      <c r="F14" s="481">
        <v>1.27</v>
      </c>
      <c r="G14" s="299"/>
      <c r="H14" s="299"/>
      <c r="I14" s="19">
        <f t="shared" si="1"/>
        <v>11</v>
      </c>
      <c r="J14" s="19">
        <f t="shared" si="1"/>
        <v>2034</v>
      </c>
      <c r="K14" s="534">
        <f t="shared" si="2"/>
        <v>0.80426303909328967</v>
      </c>
      <c r="L14" s="299"/>
      <c r="M14" s="299"/>
      <c r="N14" s="299"/>
      <c r="O14" s="299"/>
      <c r="P14" s="299"/>
      <c r="Q14" s="299"/>
      <c r="R14" s="299"/>
      <c r="S14" s="299"/>
      <c r="T14" s="299"/>
      <c r="U14" s="299"/>
      <c r="V14" s="299"/>
      <c r="W14" s="299"/>
      <c r="X14" s="299"/>
      <c r="Y14" s="299"/>
      <c r="Z14" s="299"/>
      <c r="AA14" s="299"/>
    </row>
    <row r="15" spans="1:27">
      <c r="A15" s="19">
        <f t="shared" si="0"/>
        <v>12</v>
      </c>
      <c r="B15" s="19">
        <f t="shared" si="0"/>
        <v>2035</v>
      </c>
      <c r="C15" s="535">
        <f t="shared" si="3"/>
        <v>0.69325979851214781</v>
      </c>
      <c r="D15" s="299"/>
      <c r="E15" s="19">
        <f t="shared" si="4"/>
        <v>2015</v>
      </c>
      <c r="F15" s="481">
        <v>1.26</v>
      </c>
      <c r="G15" s="299"/>
      <c r="H15" s="299"/>
      <c r="I15" s="19">
        <f t="shared" si="1"/>
        <v>12</v>
      </c>
      <c r="J15" s="19">
        <f t="shared" si="1"/>
        <v>2035</v>
      </c>
      <c r="K15" s="534">
        <f t="shared" si="2"/>
        <v>0.78849317558165644</v>
      </c>
      <c r="L15" s="299"/>
      <c r="M15" s="299"/>
      <c r="N15" s="299"/>
      <c r="O15" s="299"/>
      <c r="P15" s="299"/>
      <c r="Q15" s="299"/>
      <c r="R15" s="299"/>
      <c r="S15" s="299"/>
      <c r="T15" s="299"/>
      <c r="U15" s="299"/>
      <c r="V15" s="299"/>
      <c r="W15" s="299"/>
      <c r="X15" s="299"/>
      <c r="Y15" s="299"/>
      <c r="Z15" s="299"/>
      <c r="AA15" s="299"/>
    </row>
    <row r="16" spans="1:27">
      <c r="A16" s="19">
        <f t="shared" si="0"/>
        <v>13</v>
      </c>
      <c r="B16" s="19">
        <f t="shared" si="0"/>
        <v>2036</v>
      </c>
      <c r="C16" s="535">
        <f t="shared" si="3"/>
        <v>0.67241493551129761</v>
      </c>
      <c r="D16" s="299"/>
      <c r="E16" s="19">
        <f t="shared" si="4"/>
        <v>2016</v>
      </c>
      <c r="F16" s="481">
        <v>1.24</v>
      </c>
      <c r="G16" s="299"/>
      <c r="H16" s="299"/>
      <c r="I16" s="19">
        <f t="shared" si="1"/>
        <v>13</v>
      </c>
      <c r="J16" s="19">
        <f t="shared" si="1"/>
        <v>2036</v>
      </c>
      <c r="K16" s="534">
        <f t="shared" si="2"/>
        <v>0.77303252508005538</v>
      </c>
      <c r="L16" s="299"/>
      <c r="M16" s="299"/>
      <c r="N16" s="299"/>
      <c r="O16" s="299"/>
      <c r="P16" s="299"/>
      <c r="Q16" s="299"/>
      <c r="R16" s="299"/>
      <c r="S16" s="299"/>
      <c r="T16" s="299"/>
      <c r="U16" s="299"/>
      <c r="V16" s="299"/>
      <c r="W16" s="299"/>
      <c r="X16" s="299"/>
      <c r="Y16" s="299"/>
      <c r="Z16" s="299"/>
      <c r="AA16" s="299"/>
    </row>
    <row r="17" spans="1:27">
      <c r="A17" s="19">
        <f t="shared" si="0"/>
        <v>14</v>
      </c>
      <c r="B17" s="19">
        <f t="shared" si="0"/>
        <v>2037</v>
      </c>
      <c r="C17" s="535">
        <f t="shared" si="3"/>
        <v>0.65219683366760206</v>
      </c>
      <c r="D17" s="299"/>
      <c r="E17" s="19">
        <f t="shared" si="4"/>
        <v>2017</v>
      </c>
      <c r="F17" s="481">
        <v>1.22</v>
      </c>
      <c r="G17" s="299"/>
      <c r="H17" s="299"/>
      <c r="I17" s="19">
        <f t="shared" si="1"/>
        <v>14</v>
      </c>
      <c r="J17" s="19">
        <f t="shared" si="1"/>
        <v>2037</v>
      </c>
      <c r="K17" s="534">
        <f t="shared" si="2"/>
        <v>0.75787502458828948</v>
      </c>
      <c r="L17" s="299"/>
      <c r="M17" s="299"/>
      <c r="N17" s="299"/>
      <c r="O17" s="299"/>
      <c r="P17" s="299"/>
      <c r="Q17" s="299"/>
      <c r="R17" s="299"/>
      <c r="S17" s="299"/>
      <c r="T17" s="299"/>
      <c r="U17" s="299"/>
      <c r="V17" s="299"/>
      <c r="W17" s="299"/>
      <c r="X17" s="299"/>
      <c r="Y17" s="299"/>
      <c r="Z17" s="299"/>
      <c r="AA17" s="299"/>
    </row>
    <row r="18" spans="1:27">
      <c r="A18" s="19">
        <f t="shared" si="0"/>
        <v>15</v>
      </c>
      <c r="B18" s="19">
        <f t="shared" si="0"/>
        <v>2038</v>
      </c>
      <c r="C18" s="535">
        <f t="shared" si="3"/>
        <v>0.63258664759224259</v>
      </c>
      <c r="D18" s="299"/>
      <c r="E18" s="19">
        <f t="shared" si="4"/>
        <v>2018</v>
      </c>
      <c r="F18" s="481">
        <v>1.2</v>
      </c>
      <c r="G18" s="299"/>
      <c r="H18" s="299"/>
      <c r="I18" s="19">
        <f t="shared" si="1"/>
        <v>15</v>
      </c>
      <c r="J18" s="19">
        <f t="shared" si="1"/>
        <v>2038</v>
      </c>
      <c r="K18" s="534">
        <f t="shared" si="2"/>
        <v>0.74301472998851925</v>
      </c>
      <c r="L18" s="299"/>
      <c r="M18" s="299"/>
      <c r="N18" s="299"/>
      <c r="O18" s="299"/>
      <c r="P18" s="299"/>
      <c r="Q18" s="299"/>
      <c r="R18" s="299"/>
      <c r="S18" s="299"/>
      <c r="T18" s="299"/>
      <c r="U18" s="299"/>
      <c r="V18" s="299"/>
      <c r="W18" s="299"/>
      <c r="X18" s="299"/>
      <c r="Y18" s="299"/>
      <c r="Z18" s="299"/>
      <c r="AA18" s="299"/>
    </row>
    <row r="19" spans="1:27">
      <c r="A19" s="19">
        <f t="shared" si="0"/>
        <v>16</v>
      </c>
      <c r="B19" s="19">
        <f t="shared" si="0"/>
        <v>2039</v>
      </c>
      <c r="C19" s="535">
        <f t="shared" si="3"/>
        <v>0.6135660985375776</v>
      </c>
      <c r="D19" s="299"/>
      <c r="E19" s="19">
        <f t="shared" si="4"/>
        <v>2019</v>
      </c>
      <c r="F19" s="481">
        <v>1.18</v>
      </c>
      <c r="G19" s="299"/>
      <c r="H19" s="299"/>
      <c r="I19" s="19">
        <f t="shared" si="1"/>
        <v>16</v>
      </c>
      <c r="J19" s="19">
        <f t="shared" si="1"/>
        <v>2039</v>
      </c>
      <c r="K19" s="534">
        <f t="shared" si="2"/>
        <v>0.72844581371423445</v>
      </c>
      <c r="L19" s="299"/>
      <c r="M19" s="299"/>
      <c r="N19" s="299"/>
      <c r="O19" s="299"/>
      <c r="P19" s="299"/>
      <c r="Q19" s="299"/>
      <c r="R19" s="299"/>
      <c r="S19" s="299"/>
      <c r="T19" s="299"/>
      <c r="U19" s="299"/>
      <c r="V19" s="299"/>
      <c r="W19" s="299"/>
      <c r="X19" s="299"/>
      <c r="Y19" s="299"/>
      <c r="Z19" s="299"/>
      <c r="AA19" s="299"/>
    </row>
    <row r="20" spans="1:27">
      <c r="A20" s="19">
        <f t="shared" si="0"/>
        <v>17</v>
      </c>
      <c r="B20" s="19">
        <f t="shared" si="0"/>
        <v>2040</v>
      </c>
      <c r="C20" s="535">
        <f t="shared" si="3"/>
        <v>0.59511745735943511</v>
      </c>
      <c r="D20" s="299"/>
      <c r="E20" s="19">
        <f t="shared" si="4"/>
        <v>2020</v>
      </c>
      <c r="F20" s="481">
        <v>1.1599999999999999</v>
      </c>
      <c r="G20" s="299"/>
      <c r="H20" s="299"/>
      <c r="I20" s="19">
        <f t="shared" si="1"/>
        <v>17</v>
      </c>
      <c r="J20" s="19">
        <f t="shared" si="1"/>
        <v>2040</v>
      </c>
      <c r="K20" s="534">
        <f t="shared" si="2"/>
        <v>0.7141625624649357</v>
      </c>
      <c r="L20" s="299"/>
      <c r="M20" s="299"/>
      <c r="N20" s="299"/>
      <c r="O20" s="299"/>
      <c r="P20" s="299"/>
      <c r="Q20" s="299"/>
      <c r="R20" s="299"/>
      <c r="S20" s="299"/>
      <c r="T20" s="299"/>
      <c r="U20" s="299"/>
      <c r="V20" s="299"/>
      <c r="W20" s="299"/>
      <c r="X20" s="299"/>
      <c r="Y20" s="299"/>
      <c r="Z20" s="299"/>
      <c r="AA20" s="299"/>
    </row>
    <row r="21" spans="1:27">
      <c r="A21" s="19">
        <f t="shared" ref="A21:B36" si="5">A20+1</f>
        <v>18</v>
      </c>
      <c r="B21" s="19">
        <f t="shared" si="5"/>
        <v>2041</v>
      </c>
      <c r="C21" s="535">
        <f t="shared" si="3"/>
        <v>0.57722352799169274</v>
      </c>
      <c r="D21" s="299"/>
      <c r="E21" s="19">
        <f t="shared" si="4"/>
        <v>2021</v>
      </c>
      <c r="F21" s="481">
        <v>1.1100000000000001</v>
      </c>
      <c r="G21" s="299"/>
      <c r="H21" s="299"/>
      <c r="I21" s="19">
        <f t="shared" ref="I21:J36" si="6">I20+1</f>
        <v>18</v>
      </c>
      <c r="J21" s="19">
        <f t="shared" si="6"/>
        <v>2041</v>
      </c>
      <c r="K21" s="534">
        <f t="shared" si="2"/>
        <v>0.7001593749656233</v>
      </c>
      <c r="L21" s="299"/>
      <c r="M21" s="299"/>
      <c r="N21" s="299"/>
      <c r="O21" s="299"/>
      <c r="P21" s="299"/>
      <c r="Q21" s="299"/>
      <c r="R21" s="299"/>
      <c r="S21" s="299"/>
      <c r="T21" s="299"/>
      <c r="U21" s="299"/>
      <c r="V21" s="299"/>
      <c r="W21" s="299"/>
      <c r="X21" s="299"/>
      <c r="Y21" s="299"/>
      <c r="Z21" s="299"/>
      <c r="AA21" s="299"/>
    </row>
    <row r="22" spans="1:27">
      <c r="A22" s="19">
        <f t="shared" si="5"/>
        <v>19</v>
      </c>
      <c r="B22" s="19">
        <f t="shared" si="5"/>
        <v>2042</v>
      </c>
      <c r="C22" s="535">
        <f t="shared" si="3"/>
        <v>0.55986763141774276</v>
      </c>
      <c r="D22" s="299"/>
      <c r="E22" s="19">
        <f t="shared" si="4"/>
        <v>2022</v>
      </c>
      <c r="F22" s="481">
        <v>1.04</v>
      </c>
      <c r="G22" s="299"/>
      <c r="H22" s="299"/>
      <c r="I22" s="19">
        <f t="shared" si="6"/>
        <v>19</v>
      </c>
      <c r="J22" s="19">
        <f t="shared" si="6"/>
        <v>2042</v>
      </c>
      <c r="K22" s="534">
        <f t="shared" si="2"/>
        <v>0.68643075977021895</v>
      </c>
      <c r="L22" s="299"/>
      <c r="M22" s="299"/>
      <c r="N22" s="299"/>
      <c r="O22" s="299"/>
      <c r="P22" s="299"/>
      <c r="Q22" s="299"/>
      <c r="R22" s="299"/>
      <c r="S22" s="299"/>
      <c r="T22" s="299"/>
      <c r="U22" s="299"/>
      <c r="V22" s="299"/>
      <c r="W22" s="299"/>
      <c r="X22" s="299"/>
      <c r="Y22" s="299"/>
      <c r="Z22" s="299"/>
      <c r="AA22" s="299"/>
    </row>
    <row r="23" spans="1:27">
      <c r="A23" s="19">
        <f t="shared" si="5"/>
        <v>20</v>
      </c>
      <c r="B23" s="19">
        <f t="shared" si="5"/>
        <v>2043</v>
      </c>
      <c r="C23" s="535">
        <f t="shared" si="3"/>
        <v>0.54303359012390184</v>
      </c>
      <c r="D23" s="299"/>
      <c r="E23" s="19">
        <f t="shared" si="4"/>
        <v>2023</v>
      </c>
      <c r="F23" s="481">
        <v>1</v>
      </c>
      <c r="G23" s="299"/>
      <c r="H23" s="299"/>
      <c r="I23" s="19">
        <f t="shared" si="6"/>
        <v>20</v>
      </c>
      <c r="J23" s="19">
        <f t="shared" si="6"/>
        <v>2043</v>
      </c>
      <c r="K23" s="534">
        <f t="shared" si="2"/>
        <v>0.67297133310805779</v>
      </c>
      <c r="L23" s="299"/>
      <c r="M23" s="299"/>
      <c r="N23" s="299"/>
      <c r="O23" s="299"/>
      <c r="P23" s="299"/>
      <c r="Q23" s="299"/>
      <c r="R23" s="299"/>
      <c r="S23" s="299"/>
      <c r="T23" s="299"/>
      <c r="U23" s="299"/>
      <c r="V23" s="299"/>
      <c r="W23" s="299"/>
      <c r="X23" s="299"/>
      <c r="Y23" s="299"/>
      <c r="Z23" s="299"/>
      <c r="AA23" s="299"/>
    </row>
    <row r="24" spans="1:27">
      <c r="A24" s="19">
        <f t="shared" si="5"/>
        <v>21</v>
      </c>
      <c r="B24" s="19">
        <f t="shared" si="5"/>
        <v>2044</v>
      </c>
      <c r="C24" s="535">
        <f t="shared" si="3"/>
        <v>0.52670571302027336</v>
      </c>
      <c r="D24" s="299"/>
      <c r="E24" s="617" t="s">
        <v>72</v>
      </c>
      <c r="F24" s="618"/>
      <c r="G24" s="299"/>
      <c r="H24" s="299"/>
      <c r="I24" s="19">
        <f t="shared" si="6"/>
        <v>21</v>
      </c>
      <c r="J24" s="19">
        <f t="shared" si="6"/>
        <v>2044</v>
      </c>
      <c r="K24" s="534">
        <f t="shared" si="2"/>
        <v>0.65977581677260566</v>
      </c>
      <c r="L24" s="299"/>
      <c r="M24" s="299"/>
      <c r="N24" s="299"/>
      <c r="O24" s="299"/>
      <c r="P24" s="299"/>
      <c r="Q24" s="299"/>
      <c r="R24" s="299"/>
      <c r="S24" s="299"/>
      <c r="T24" s="299"/>
      <c r="U24" s="299"/>
      <c r="V24" s="299"/>
      <c r="W24" s="299"/>
      <c r="X24" s="299"/>
      <c r="Y24" s="299"/>
      <c r="Z24" s="299"/>
      <c r="AA24" s="299"/>
    </row>
    <row r="25" spans="1:27">
      <c r="A25" s="19">
        <f t="shared" si="5"/>
        <v>22</v>
      </c>
      <c r="B25" s="19">
        <f t="shared" si="5"/>
        <v>2045</v>
      </c>
      <c r="C25" s="535">
        <f t="shared" si="3"/>
        <v>0.51086878081500819</v>
      </c>
      <c r="D25" s="299"/>
      <c r="E25" s="299"/>
      <c r="F25" s="299"/>
      <c r="G25" s="299"/>
      <c r="H25" s="299"/>
      <c r="I25" s="19">
        <f t="shared" si="6"/>
        <v>22</v>
      </c>
      <c r="J25" s="19">
        <f t="shared" si="6"/>
        <v>2045</v>
      </c>
      <c r="K25" s="534">
        <f t="shared" si="2"/>
        <v>0.64683903605157411</v>
      </c>
      <c r="L25" s="299"/>
      <c r="M25" s="299"/>
      <c r="N25" s="299"/>
      <c r="O25" s="299"/>
      <c r="P25" s="299"/>
      <c r="Q25" s="299"/>
      <c r="R25" s="299"/>
      <c r="S25" s="299"/>
      <c r="T25" s="299"/>
      <c r="U25" s="299"/>
      <c r="V25" s="299"/>
      <c r="W25" s="299"/>
      <c r="X25" s="299"/>
      <c r="Y25" s="299"/>
      <c r="Z25" s="299"/>
      <c r="AA25" s="299"/>
    </row>
    <row r="26" spans="1:27">
      <c r="A26" s="19">
        <f t="shared" si="5"/>
        <v>23</v>
      </c>
      <c r="B26" s="19">
        <f t="shared" si="5"/>
        <v>2046</v>
      </c>
      <c r="C26" s="535">
        <f t="shared" si="3"/>
        <v>0.49550803182832992</v>
      </c>
      <c r="D26" s="299"/>
      <c r="E26" s="299"/>
      <c r="F26" s="299"/>
      <c r="G26" s="299"/>
      <c r="H26" s="299"/>
      <c r="I26" s="19">
        <f t="shared" si="6"/>
        <v>23</v>
      </c>
      <c r="J26" s="19">
        <f t="shared" si="6"/>
        <v>2046</v>
      </c>
      <c r="K26" s="534">
        <f t="shared" si="2"/>
        <v>0.63415591769762181</v>
      </c>
      <c r="L26" s="299"/>
      <c r="M26" s="299"/>
      <c r="N26" s="299"/>
      <c r="O26" s="299"/>
      <c r="P26" s="299"/>
      <c r="Q26" s="299"/>
      <c r="R26" s="299"/>
      <c r="S26" s="299"/>
      <c r="T26" s="299"/>
      <c r="U26" s="299"/>
      <c r="V26" s="299"/>
      <c r="W26" s="299"/>
      <c r="X26" s="299"/>
      <c r="Y26" s="299"/>
      <c r="Z26" s="299"/>
      <c r="AA26" s="299"/>
    </row>
    <row r="27" spans="1:27">
      <c r="A27" s="19">
        <f t="shared" si="5"/>
        <v>24</v>
      </c>
      <c r="B27" s="19">
        <f t="shared" si="5"/>
        <v>2047</v>
      </c>
      <c r="C27" s="535">
        <f t="shared" si="3"/>
        <v>0.4806091482331038</v>
      </c>
      <c r="D27" s="299"/>
      <c r="E27" s="299"/>
      <c r="F27" s="299"/>
      <c r="G27" s="299"/>
      <c r="H27" s="299"/>
      <c r="I27" s="19">
        <f t="shared" si="6"/>
        <v>24</v>
      </c>
      <c r="J27" s="19">
        <f t="shared" si="6"/>
        <v>2047</v>
      </c>
      <c r="K27" s="534">
        <f t="shared" si="2"/>
        <v>0.62172148793884485</v>
      </c>
      <c r="L27" s="299"/>
      <c r="M27" s="299"/>
      <c r="N27" s="299"/>
      <c r="O27" s="299"/>
      <c r="P27" s="299"/>
      <c r="Q27" s="299"/>
      <c r="R27" s="299"/>
      <c r="S27" s="299"/>
      <c r="T27" s="299"/>
      <c r="U27" s="299"/>
      <c r="V27" s="299"/>
      <c r="W27" s="299"/>
      <c r="X27" s="299"/>
      <c r="Y27" s="299"/>
      <c r="Z27" s="299"/>
      <c r="AA27" s="299"/>
    </row>
    <row r="28" spans="1:27">
      <c r="A28" s="19">
        <f t="shared" si="5"/>
        <v>25</v>
      </c>
      <c r="B28" s="19">
        <f t="shared" si="5"/>
        <v>2048</v>
      </c>
      <c r="C28" s="535">
        <f t="shared" si="3"/>
        <v>0.46615824270912104</v>
      </c>
      <c r="D28" s="299"/>
      <c r="E28" s="299"/>
      <c r="F28" s="299"/>
      <c r="G28" s="299"/>
      <c r="H28" s="299"/>
      <c r="I28" s="19">
        <f t="shared" si="6"/>
        <v>25</v>
      </c>
      <c r="J28" s="19">
        <f t="shared" si="6"/>
        <v>2048</v>
      </c>
      <c r="K28" s="534">
        <f t="shared" si="2"/>
        <v>0.60953087052827937</v>
      </c>
      <c r="L28" s="299"/>
      <c r="M28" s="299"/>
      <c r="N28" s="299"/>
      <c r="O28" s="299"/>
      <c r="P28" s="299"/>
      <c r="Q28" s="299"/>
      <c r="R28" s="299"/>
      <c r="S28" s="299"/>
      <c r="T28" s="299"/>
      <c r="U28" s="299"/>
      <c r="V28" s="299"/>
      <c r="W28" s="299"/>
      <c r="X28" s="299"/>
      <c r="Y28" s="299"/>
      <c r="Z28" s="299"/>
      <c r="AA28" s="299"/>
    </row>
    <row r="29" spans="1:27">
      <c r="A29" s="19">
        <f t="shared" si="5"/>
        <v>26</v>
      </c>
      <c r="B29" s="19">
        <f t="shared" si="5"/>
        <v>2049</v>
      </c>
      <c r="C29" s="535">
        <f t="shared" si="3"/>
        <v>0.4521418454986626</v>
      </c>
      <c r="D29" s="299"/>
      <c r="E29" s="299"/>
      <c r="F29" s="299"/>
      <c r="G29" s="299"/>
      <c r="H29" s="299"/>
      <c r="I29" s="19">
        <f t="shared" si="6"/>
        <v>26</v>
      </c>
      <c r="J29" s="19">
        <f t="shared" si="6"/>
        <v>2049</v>
      </c>
      <c r="K29" s="534">
        <f t="shared" si="2"/>
        <v>0.59757928483164635</v>
      </c>
      <c r="L29" s="299"/>
      <c r="M29" s="299"/>
      <c r="N29" s="299"/>
      <c r="O29" s="299"/>
      <c r="P29" s="299"/>
      <c r="Q29" s="299"/>
      <c r="R29" s="299"/>
      <c r="S29" s="299"/>
      <c r="T29" s="299"/>
      <c r="U29" s="299"/>
      <c r="V29" s="299"/>
      <c r="W29" s="299"/>
      <c r="X29" s="299"/>
      <c r="Y29" s="299"/>
      <c r="Z29" s="299"/>
      <c r="AA29" s="299"/>
    </row>
    <row r="30" spans="1:27">
      <c r="A30" s="19">
        <f t="shared" si="5"/>
        <v>27</v>
      </c>
      <c r="B30" s="19">
        <f t="shared" si="5"/>
        <v>2050</v>
      </c>
      <c r="C30" s="535">
        <f t="shared" si="3"/>
        <v>0.4385468918512731</v>
      </c>
      <c r="D30" s="299"/>
      <c r="E30" s="299"/>
      <c r="F30" s="299"/>
      <c r="G30" s="299"/>
      <c r="H30" s="299"/>
      <c r="I30" s="19">
        <f t="shared" si="6"/>
        <v>27</v>
      </c>
      <c r="J30" s="19">
        <f t="shared" si="6"/>
        <v>2050</v>
      </c>
      <c r="K30" s="534">
        <f t="shared" si="2"/>
        <v>0.58586204395259456</v>
      </c>
      <c r="L30" s="299"/>
      <c r="M30" s="299"/>
      <c r="N30" s="299"/>
      <c r="O30" s="299"/>
      <c r="P30" s="299"/>
      <c r="Q30" s="299"/>
      <c r="R30" s="299"/>
      <c r="S30" s="299"/>
      <c r="T30" s="299"/>
      <c r="U30" s="299"/>
      <c r="V30" s="299"/>
      <c r="W30" s="299"/>
      <c r="X30" s="299"/>
      <c r="Y30" s="299"/>
      <c r="Z30" s="299"/>
      <c r="AA30" s="299"/>
    </row>
    <row r="31" spans="1:27">
      <c r="A31" s="19">
        <f t="shared" si="5"/>
        <v>28</v>
      </c>
      <c r="B31" s="19">
        <f t="shared" si="5"/>
        <v>2051</v>
      </c>
      <c r="C31" s="535">
        <f t="shared" si="3"/>
        <v>0.42536070984604568</v>
      </c>
      <c r="D31" s="299"/>
      <c r="E31" s="299"/>
      <c r="F31" s="299"/>
      <c r="G31" s="299"/>
      <c r="H31" s="299"/>
      <c r="I31" s="19">
        <f t="shared" si="6"/>
        <v>28</v>
      </c>
      <c r="J31" s="19">
        <f t="shared" si="6"/>
        <v>2051</v>
      </c>
      <c r="K31" s="534">
        <f t="shared" si="2"/>
        <v>0.57437455289470041</v>
      </c>
      <c r="L31" s="299"/>
      <c r="M31" s="299"/>
      <c r="N31" s="299"/>
      <c r="O31" s="299"/>
      <c r="P31" s="299"/>
      <c r="Q31" s="299"/>
      <c r="R31" s="299"/>
      <c r="S31" s="299"/>
      <c r="T31" s="299"/>
      <c r="U31" s="299"/>
      <c r="V31" s="299"/>
      <c r="W31" s="299"/>
      <c r="X31" s="299"/>
      <c r="Y31" s="299"/>
      <c r="Z31" s="299"/>
      <c r="AA31" s="299"/>
    </row>
    <row r="32" spans="1:27">
      <c r="A32" s="19">
        <f t="shared" si="5"/>
        <v>29</v>
      </c>
      <c r="B32" s="19">
        <f t="shared" si="5"/>
        <v>2052</v>
      </c>
      <c r="C32" s="535">
        <f t="shared" si="3"/>
        <v>0.41257100858006374</v>
      </c>
      <c r="D32" s="299"/>
      <c r="E32" s="299"/>
      <c r="F32" s="299"/>
      <c r="G32" s="299"/>
      <c r="H32" s="299"/>
      <c r="I32" s="19">
        <f t="shared" si="6"/>
        <v>29</v>
      </c>
      <c r="J32" s="19">
        <f t="shared" si="6"/>
        <v>2052</v>
      </c>
      <c r="K32" s="534">
        <f t="shared" si="2"/>
        <v>0.56311230675951029</v>
      </c>
      <c r="L32" s="299"/>
      <c r="M32" s="299"/>
      <c r="N32" s="299"/>
      <c r="O32" s="299"/>
      <c r="P32" s="299"/>
      <c r="Q32" s="299"/>
      <c r="R32" s="299"/>
      <c r="S32" s="299"/>
      <c r="T32" s="299"/>
      <c r="U32" s="299"/>
      <c r="V32" s="299"/>
      <c r="W32" s="299"/>
      <c r="X32" s="299"/>
      <c r="Y32" s="299"/>
      <c r="Z32" s="299"/>
      <c r="AA32" s="299"/>
    </row>
    <row r="33" spans="1:27">
      <c r="A33" s="19">
        <f t="shared" si="5"/>
        <v>30</v>
      </c>
      <c r="B33" s="19">
        <f t="shared" si="5"/>
        <v>2053</v>
      </c>
      <c r="C33" s="535">
        <f>1/(1+$C$44)^A33</f>
        <v>0.400165866711992</v>
      </c>
      <c r="D33" s="299"/>
      <c r="E33" s="299"/>
      <c r="F33" s="299"/>
      <c r="G33" s="299"/>
      <c r="H33" s="299"/>
      <c r="I33" s="19">
        <f t="shared" si="6"/>
        <v>30</v>
      </c>
      <c r="J33" s="19">
        <f t="shared" si="6"/>
        <v>2053</v>
      </c>
      <c r="K33" s="534">
        <f t="shared" si="2"/>
        <v>0.55207088897991197</v>
      </c>
      <c r="L33" s="299"/>
      <c r="M33" s="299"/>
      <c r="N33" s="299"/>
      <c r="O33" s="299"/>
      <c r="P33" s="299"/>
      <c r="Q33" s="299"/>
      <c r="R33" s="299"/>
      <c r="S33" s="299"/>
      <c r="T33" s="299"/>
      <c r="U33" s="299"/>
      <c r="V33" s="299"/>
      <c r="W33" s="299"/>
      <c r="X33" s="299"/>
      <c r="Y33" s="299"/>
      <c r="Z33" s="299"/>
      <c r="AA33" s="299"/>
    </row>
    <row r="34" spans="1:27">
      <c r="A34" s="19">
        <f t="shared" si="5"/>
        <v>31</v>
      </c>
      <c r="B34" s="19">
        <f t="shared" si="5"/>
        <v>2054</v>
      </c>
      <c r="C34" s="535">
        <f t="shared" si="3"/>
        <v>0.38813372135013779</v>
      </c>
      <c r="D34" s="299"/>
      <c r="E34" s="299"/>
      <c r="F34" s="299"/>
      <c r="G34" s="299"/>
      <c r="H34" s="299"/>
      <c r="I34" s="19">
        <f t="shared" si="6"/>
        <v>31</v>
      </c>
      <c r="J34" s="19">
        <f t="shared" si="6"/>
        <v>2054</v>
      </c>
      <c r="K34" s="534">
        <f t="shared" si="2"/>
        <v>0.54124596958814919</v>
      </c>
      <c r="L34" s="299"/>
      <c r="M34" s="299"/>
      <c r="N34" s="299"/>
      <c r="O34" s="299"/>
      <c r="P34" s="299"/>
      <c r="Q34" s="299"/>
      <c r="R34" s="299"/>
      <c r="S34" s="299"/>
      <c r="T34" s="299"/>
      <c r="U34" s="299"/>
      <c r="V34" s="299"/>
      <c r="W34" s="299"/>
      <c r="X34" s="299"/>
      <c r="Y34" s="299"/>
      <c r="Z34" s="299"/>
      <c r="AA34" s="299"/>
    </row>
    <row r="35" spans="1:27">
      <c r="A35" s="19">
        <f t="shared" si="5"/>
        <v>32</v>
      </c>
      <c r="B35" s="19">
        <f t="shared" si="5"/>
        <v>2055</v>
      </c>
      <c r="C35" s="535">
        <f t="shared" si="3"/>
        <v>0.37646335727462438</v>
      </c>
      <c r="D35" s="299"/>
      <c r="E35" s="299"/>
      <c r="F35" s="299"/>
      <c r="G35" s="299"/>
      <c r="H35" s="299"/>
      <c r="I35" s="19">
        <f t="shared" si="6"/>
        <v>32</v>
      </c>
      <c r="J35" s="19">
        <f t="shared" si="6"/>
        <v>2055</v>
      </c>
      <c r="K35" s="534">
        <f t="shared" si="2"/>
        <v>0.53063330351779314</v>
      </c>
      <c r="L35" s="299"/>
      <c r="M35" s="299"/>
      <c r="N35" s="299"/>
      <c r="O35" s="299"/>
      <c r="P35" s="299"/>
      <c r="Q35" s="299"/>
      <c r="R35" s="299"/>
      <c r="S35" s="299"/>
      <c r="T35" s="299"/>
      <c r="U35" s="299"/>
      <c r="V35" s="299"/>
      <c r="W35" s="299"/>
      <c r="X35" s="299"/>
      <c r="Y35" s="299"/>
      <c r="Z35" s="299"/>
      <c r="AA35" s="299"/>
    </row>
    <row r="36" spans="1:27">
      <c r="A36" s="19">
        <f t="shared" si="5"/>
        <v>33</v>
      </c>
      <c r="B36" s="19">
        <f t="shared" si="5"/>
        <v>2056</v>
      </c>
      <c r="C36" s="535">
        <f t="shared" si="3"/>
        <v>0.36514389648363188</v>
      </c>
      <c r="D36" s="299"/>
      <c r="E36" s="299"/>
      <c r="F36" s="299"/>
      <c r="G36" s="299"/>
      <c r="H36" s="299"/>
      <c r="I36" s="19">
        <f t="shared" si="6"/>
        <v>33</v>
      </c>
      <c r="J36" s="19">
        <f t="shared" si="6"/>
        <v>2056</v>
      </c>
      <c r="K36" s="534">
        <f t="shared" si="2"/>
        <v>0.52022872893901284</v>
      </c>
      <c r="L36" s="299"/>
      <c r="M36" s="299"/>
      <c r="N36" s="299"/>
      <c r="O36" s="299"/>
      <c r="P36" s="299"/>
      <c r="Q36" s="299"/>
      <c r="R36" s="299"/>
      <c r="S36" s="299"/>
      <c r="T36" s="299"/>
      <c r="U36" s="299"/>
      <c r="V36" s="299"/>
      <c r="W36" s="299"/>
      <c r="X36" s="299"/>
      <c r="Y36" s="299"/>
      <c r="Z36" s="299"/>
      <c r="AA36" s="299"/>
    </row>
    <row r="37" spans="1:27">
      <c r="A37" s="19">
        <f t="shared" ref="A37:B43" si="7">A36+1</f>
        <v>34</v>
      </c>
      <c r="B37" s="19">
        <f t="shared" si="7"/>
        <v>2057</v>
      </c>
      <c r="C37" s="535">
        <f t="shared" si="3"/>
        <v>0.35416478805395912</v>
      </c>
      <c r="D37" s="299"/>
      <c r="E37" s="299"/>
      <c r="F37" s="299"/>
      <c r="G37" s="299"/>
      <c r="H37" s="299"/>
      <c r="I37" s="19">
        <f t="shared" ref="I37:J43" si="8">I36+1</f>
        <v>34</v>
      </c>
      <c r="J37" s="19">
        <f t="shared" si="8"/>
        <v>2057</v>
      </c>
      <c r="K37" s="534">
        <f t="shared" si="2"/>
        <v>0.51002816562648323</v>
      </c>
      <c r="L37" s="299"/>
      <c r="M37" s="299"/>
      <c r="N37" s="299"/>
      <c r="O37" s="299"/>
      <c r="P37" s="299"/>
      <c r="Q37" s="299"/>
      <c r="R37" s="299"/>
      <c r="S37" s="299"/>
      <c r="T37" s="299"/>
      <c r="U37" s="299"/>
      <c r="V37" s="299"/>
      <c r="W37" s="299"/>
      <c r="X37" s="299"/>
      <c r="Y37" s="299"/>
      <c r="Z37" s="299"/>
      <c r="AA37" s="299"/>
    </row>
    <row r="38" spans="1:27">
      <c r="A38" s="19">
        <f t="shared" si="7"/>
        <v>35</v>
      </c>
      <c r="B38" s="19">
        <f t="shared" si="7"/>
        <v>2058</v>
      </c>
      <c r="C38" s="535">
        <f t="shared" si="3"/>
        <v>0.34351579830645895</v>
      </c>
      <c r="D38" s="299"/>
      <c r="E38" s="299"/>
      <c r="F38" s="299"/>
      <c r="G38" s="299"/>
      <c r="H38" s="299"/>
      <c r="I38" s="19">
        <f t="shared" si="8"/>
        <v>35</v>
      </c>
      <c r="J38" s="19">
        <f t="shared" si="8"/>
        <v>2058</v>
      </c>
      <c r="K38" s="534">
        <f t="shared" si="2"/>
        <v>0.50002761335929735</v>
      </c>
      <c r="L38" s="299"/>
      <c r="M38" s="299"/>
      <c r="N38" s="299"/>
      <c r="O38" s="299"/>
      <c r="P38" s="299"/>
      <c r="Q38" s="299"/>
      <c r="R38" s="299"/>
      <c r="S38" s="299"/>
      <c r="T38" s="299"/>
      <c r="U38" s="299"/>
      <c r="V38" s="299"/>
      <c r="W38" s="299"/>
      <c r="X38" s="299"/>
      <c r="Y38" s="299"/>
      <c r="Z38" s="299"/>
      <c r="AA38" s="299"/>
    </row>
    <row r="39" spans="1:27">
      <c r="A39" s="19">
        <f t="shared" si="7"/>
        <v>36</v>
      </c>
      <c r="B39" s="19">
        <f t="shared" si="7"/>
        <v>2059</v>
      </c>
      <c r="C39" s="535">
        <f t="shared" si="3"/>
        <v>0.33318700126717649</v>
      </c>
      <c r="D39" s="299"/>
      <c r="E39" s="299"/>
      <c r="F39" s="299"/>
      <c r="G39" s="299"/>
      <c r="H39" s="299"/>
      <c r="I39" s="19">
        <f t="shared" si="8"/>
        <v>36</v>
      </c>
      <c r="J39" s="19">
        <f t="shared" si="8"/>
        <v>2059</v>
      </c>
      <c r="K39" s="534">
        <f t="shared" si="2"/>
        <v>0.49022315035225233</v>
      </c>
      <c r="L39" s="299"/>
      <c r="M39" s="299"/>
      <c r="N39" s="299"/>
      <c r="O39" s="299"/>
      <c r="P39" s="299"/>
      <c r="Q39" s="299"/>
      <c r="R39" s="299"/>
      <c r="S39" s="299"/>
      <c r="T39" s="299"/>
      <c r="U39" s="299"/>
      <c r="V39" s="299"/>
      <c r="W39" s="299"/>
      <c r="X39" s="299"/>
      <c r="Y39" s="299"/>
      <c r="Z39" s="299"/>
      <c r="AA39" s="299"/>
    </row>
    <row r="40" spans="1:27">
      <c r="A40" s="19">
        <f t="shared" si="7"/>
        <v>37</v>
      </c>
      <c r="B40" s="19">
        <f t="shared" si="7"/>
        <v>2060</v>
      </c>
      <c r="C40" s="535">
        <f>1/(1+$C$44)^A40</f>
        <v>0.32316876941530209</v>
      </c>
      <c r="D40" s="299"/>
      <c r="E40" s="299"/>
      <c r="F40" s="299"/>
      <c r="G40" s="299"/>
      <c r="H40" s="299"/>
      <c r="I40" s="19">
        <f t="shared" si="8"/>
        <v>37</v>
      </c>
      <c r="J40" s="19">
        <f t="shared" si="8"/>
        <v>2060</v>
      </c>
      <c r="K40" s="534">
        <f t="shared" si="2"/>
        <v>0.48061093171789437</v>
      </c>
      <c r="L40" s="299"/>
      <c r="M40" s="299"/>
      <c r="N40" s="299"/>
      <c r="O40" s="299"/>
      <c r="P40" s="299"/>
      <c r="Q40" s="299"/>
      <c r="R40" s="299"/>
      <c r="S40" s="299"/>
      <c r="T40" s="299"/>
      <c r="U40" s="299"/>
      <c r="V40" s="299"/>
      <c r="W40" s="299"/>
      <c r="X40" s="299"/>
      <c r="Y40" s="299"/>
      <c r="Z40" s="299"/>
      <c r="AA40" s="299"/>
    </row>
    <row r="41" spans="1:27">
      <c r="A41" s="19">
        <f t="shared" si="7"/>
        <v>38</v>
      </c>
      <c r="B41" s="19">
        <f t="shared" si="7"/>
        <v>2061</v>
      </c>
      <c r="C41" s="535">
        <f t="shared" si="3"/>
        <v>0.31345176470931341</v>
      </c>
      <c r="D41" s="299"/>
      <c r="E41" s="299"/>
      <c r="F41" s="299"/>
      <c r="G41" s="299"/>
      <c r="H41" s="299"/>
      <c r="I41" s="19">
        <f t="shared" si="8"/>
        <v>38</v>
      </c>
      <c r="J41" s="19">
        <f t="shared" si="8"/>
        <v>2061</v>
      </c>
      <c r="K41" s="534">
        <f t="shared" si="2"/>
        <v>0.47118718795871989</v>
      </c>
      <c r="L41" s="299"/>
      <c r="M41" s="299"/>
      <c r="N41" s="299"/>
      <c r="O41" s="299"/>
      <c r="P41" s="299"/>
      <c r="Q41" s="299"/>
      <c r="R41" s="299"/>
      <c r="S41" s="299"/>
      <c r="T41" s="299"/>
      <c r="U41" s="299"/>
      <c r="V41" s="299"/>
      <c r="W41" s="299"/>
      <c r="X41" s="299"/>
      <c r="Y41" s="299"/>
      <c r="Z41" s="299"/>
      <c r="AA41" s="299"/>
    </row>
    <row r="42" spans="1:27">
      <c r="A42" s="19">
        <f t="shared" si="7"/>
        <v>39</v>
      </c>
      <c r="B42" s="19">
        <f t="shared" si="7"/>
        <v>2062</v>
      </c>
      <c r="C42" s="535">
        <f t="shared" si="3"/>
        <v>0.30402692988294228</v>
      </c>
      <c r="D42" s="299"/>
      <c r="E42" s="299"/>
      <c r="F42" s="299"/>
      <c r="G42" s="299"/>
      <c r="H42" s="299"/>
      <c r="I42" s="19">
        <f t="shared" si="8"/>
        <v>39</v>
      </c>
      <c r="J42" s="19">
        <f t="shared" si="8"/>
        <v>2062</v>
      </c>
      <c r="K42" s="534">
        <f t="shared" si="2"/>
        <v>0.46194822348894127</v>
      </c>
      <c r="L42" s="299"/>
      <c r="M42" s="299"/>
      <c r="N42" s="299"/>
      <c r="O42" s="299"/>
      <c r="P42" s="299"/>
      <c r="Q42" s="299"/>
      <c r="R42" s="299"/>
      <c r="S42" s="299"/>
      <c r="T42" s="299"/>
      <c r="U42" s="299"/>
      <c r="V42" s="299"/>
      <c r="W42" s="299"/>
      <c r="X42" s="299"/>
      <c r="Y42" s="299"/>
      <c r="Z42" s="299"/>
      <c r="AA42" s="299"/>
    </row>
    <row r="43" spans="1:27">
      <c r="A43" s="19">
        <f t="shared" si="7"/>
        <v>40</v>
      </c>
      <c r="B43" s="19">
        <f t="shared" si="7"/>
        <v>2063</v>
      </c>
      <c r="C43" s="535">
        <f t="shared" si="3"/>
        <v>0.29488548000285381</v>
      </c>
      <c r="D43" s="299"/>
      <c r="E43" s="299"/>
      <c r="F43" s="299"/>
      <c r="G43" s="299"/>
      <c r="H43" s="299"/>
      <c r="I43" s="19">
        <f t="shared" si="8"/>
        <v>40</v>
      </c>
      <c r="J43" s="19">
        <f t="shared" si="8"/>
        <v>2063</v>
      </c>
      <c r="K43" s="534">
        <f>1/(1+$K$44)^I43</f>
        <v>0.45289041518523643</v>
      </c>
      <c r="L43" s="299"/>
      <c r="M43" s="299"/>
      <c r="N43" s="299"/>
      <c r="O43" s="299"/>
      <c r="P43" s="299"/>
      <c r="Q43" s="299"/>
      <c r="R43" s="299"/>
      <c r="S43" s="299"/>
      <c r="T43" s="299"/>
      <c r="U43" s="299"/>
      <c r="V43" s="299"/>
      <c r="W43" s="299"/>
      <c r="X43" s="299"/>
      <c r="Y43" s="299"/>
      <c r="Z43" s="299"/>
      <c r="AA43" s="299"/>
    </row>
    <row r="44" spans="1:27" ht="13.35" customHeight="1">
      <c r="A44" s="614" t="s">
        <v>73</v>
      </c>
      <c r="B44" s="615"/>
      <c r="C44" s="447">
        <f>0.031</f>
        <v>3.1E-2</v>
      </c>
      <c r="D44" s="299"/>
      <c r="E44" s="299"/>
      <c r="F44" s="299"/>
      <c r="G44" s="299"/>
      <c r="H44" s="299"/>
      <c r="I44" s="614" t="s">
        <v>73</v>
      </c>
      <c r="J44" s="615"/>
      <c r="K44" s="447">
        <v>0.02</v>
      </c>
      <c r="L44" s="299"/>
      <c r="M44" s="299"/>
      <c r="N44" s="299"/>
      <c r="O44" s="299"/>
      <c r="P44" s="299"/>
      <c r="Q44" s="299"/>
      <c r="R44" s="299"/>
      <c r="S44" s="299"/>
      <c r="T44" s="299"/>
      <c r="U44" s="299"/>
      <c r="V44" s="299"/>
      <c r="W44" s="299"/>
      <c r="X44" s="299"/>
      <c r="Y44" s="299"/>
      <c r="Z44" s="299"/>
      <c r="AA44" s="299"/>
    </row>
    <row r="45" spans="1:27">
      <c r="A45" s="299"/>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row>
    <row r="46" spans="1:27">
      <c r="A46" s="299"/>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row>
    <row r="47" spans="1:27">
      <c r="A47" s="299"/>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row>
    <row r="48" spans="1:27">
      <c r="A48" s="299"/>
      <c r="B48" s="299"/>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row>
    <row r="49" spans="1:27">
      <c r="A49" s="299"/>
      <c r="B49" s="299"/>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row>
    <row r="50" spans="1:27">
      <c r="A50" s="299"/>
      <c r="B50" s="299"/>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row>
  </sheetData>
  <mergeCells count="6">
    <mergeCell ref="A2:C2"/>
    <mergeCell ref="A44:B44"/>
    <mergeCell ref="E2:F2"/>
    <mergeCell ref="I2:K2"/>
    <mergeCell ref="I44:J44"/>
    <mergeCell ref="E24:F24"/>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4499-5B98-475D-A8C2-A2102FBEED6C}">
  <sheetPr>
    <tabColor theme="6"/>
    <pageSetUpPr fitToPage="1"/>
  </sheetPr>
  <dimension ref="A1:Y63"/>
  <sheetViews>
    <sheetView topLeftCell="A4" zoomScale="90" zoomScaleNormal="90" workbookViewId="0">
      <selection activeCell="E32" sqref="E32"/>
    </sheetView>
  </sheetViews>
  <sheetFormatPr defaultRowHeight="12.75"/>
  <cols>
    <col min="1" max="1" width="16.28515625" customWidth="1"/>
    <col min="2" max="2" width="13" customWidth="1"/>
    <col min="3" max="3" width="12.7109375" customWidth="1"/>
    <col min="4" max="4" width="13" customWidth="1"/>
    <col min="5" max="5" width="15.42578125" customWidth="1"/>
    <col min="6" max="6" width="14.28515625" customWidth="1"/>
    <col min="7" max="7" width="14.140625" customWidth="1"/>
    <col min="8" max="8" width="40.42578125" bestFit="1" customWidth="1"/>
    <col min="9" max="9" width="11.7109375" customWidth="1"/>
    <col min="10" max="10" width="14.85546875" bestFit="1" customWidth="1"/>
    <col min="11" max="11" width="16.7109375" bestFit="1" customWidth="1"/>
    <col min="12" max="12" width="12.7109375" customWidth="1"/>
    <col min="13" max="13" width="18" customWidth="1"/>
    <col min="14" max="14" width="22.28515625" customWidth="1"/>
  </cols>
  <sheetData>
    <row r="1" spans="1:25" ht="16.5">
      <c r="A1" s="341" t="s">
        <v>74</v>
      </c>
      <c r="B1" s="299"/>
      <c r="C1" s="299"/>
      <c r="D1" s="299"/>
      <c r="E1" s="299"/>
      <c r="F1" s="299"/>
      <c r="G1" s="299"/>
      <c r="H1" s="299"/>
      <c r="I1" s="299"/>
      <c r="J1" s="299"/>
      <c r="K1" s="299"/>
      <c r="L1" s="299"/>
      <c r="M1" s="299"/>
      <c r="N1" s="299"/>
      <c r="O1" s="299"/>
      <c r="P1" s="299"/>
      <c r="Q1" s="299"/>
      <c r="R1" s="299"/>
      <c r="S1" s="299"/>
      <c r="T1" s="299"/>
      <c r="U1" s="299"/>
      <c r="V1" s="299"/>
      <c r="W1" s="299"/>
      <c r="X1" s="299"/>
      <c r="Y1" s="299"/>
    </row>
    <row r="2" spans="1:25" ht="10.9" customHeight="1">
      <c r="A2" s="309"/>
      <c r="B2" s="309"/>
      <c r="C2" s="309"/>
      <c r="D2" s="299"/>
      <c r="E2" s="299"/>
      <c r="F2" s="299"/>
      <c r="G2" s="299"/>
      <c r="H2" s="299"/>
      <c r="I2" s="299"/>
      <c r="J2" s="341"/>
      <c r="K2" s="341"/>
      <c r="L2" s="342"/>
      <c r="M2" s="342"/>
      <c r="N2" s="342"/>
      <c r="O2" s="299"/>
      <c r="P2" s="299"/>
      <c r="Q2" s="299"/>
      <c r="R2" s="299"/>
      <c r="S2" s="299"/>
      <c r="T2" s="299"/>
      <c r="U2" s="299"/>
      <c r="V2" s="299"/>
      <c r="W2" s="299"/>
      <c r="X2" s="299"/>
      <c r="Y2" s="299"/>
    </row>
    <row r="3" spans="1:25">
      <c r="A3" s="625" t="s">
        <v>75</v>
      </c>
      <c r="B3" s="626"/>
      <c r="C3" s="626"/>
      <c r="D3" s="626"/>
      <c r="E3" s="626"/>
      <c r="F3" s="627"/>
      <c r="G3" s="299"/>
      <c r="O3" s="299"/>
      <c r="P3" s="299"/>
      <c r="Q3" s="299"/>
      <c r="R3" s="299"/>
      <c r="S3" s="299"/>
      <c r="T3" s="299"/>
      <c r="U3" s="299"/>
      <c r="V3" s="299"/>
      <c r="W3" s="299"/>
    </row>
    <row r="4" spans="1:25" ht="43.9" customHeight="1" thickBot="1">
      <c r="A4" s="581" t="s">
        <v>76</v>
      </c>
      <c r="B4" s="581" t="s">
        <v>77</v>
      </c>
      <c r="C4" s="581" t="s">
        <v>78</v>
      </c>
      <c r="D4" s="581" t="s">
        <v>79</v>
      </c>
      <c r="E4" s="581" t="s">
        <v>80</v>
      </c>
      <c r="F4" s="581" t="s">
        <v>81</v>
      </c>
      <c r="G4" s="350"/>
      <c r="O4" s="299"/>
      <c r="P4" s="299"/>
      <c r="Q4" s="299"/>
      <c r="R4" s="299"/>
      <c r="S4" s="299"/>
      <c r="T4" s="299"/>
      <c r="U4" s="299"/>
      <c r="V4" s="299"/>
      <c r="W4" s="299"/>
      <c r="X4" s="299"/>
      <c r="Y4" s="299"/>
    </row>
    <row r="5" spans="1:25" ht="13.5" thickTop="1">
      <c r="A5" s="19">
        <v>2028</v>
      </c>
      <c r="B5" s="357">
        <f t="shared" ref="B5:B40" si="0">($F$52*$B$52)</f>
        <v>10600</v>
      </c>
      <c r="C5" s="358">
        <v>0</v>
      </c>
      <c r="D5" s="359"/>
      <c r="E5" s="360"/>
      <c r="F5" s="361"/>
      <c r="G5" s="299"/>
      <c r="O5" s="299"/>
      <c r="P5" s="299"/>
      <c r="Q5" s="299"/>
      <c r="R5" s="299"/>
      <c r="S5" s="299"/>
      <c r="T5" s="299"/>
      <c r="U5" s="299"/>
      <c r="V5" s="299"/>
      <c r="W5" s="299"/>
      <c r="X5" s="299"/>
      <c r="Y5" s="299"/>
    </row>
    <row r="6" spans="1:25">
      <c r="A6" s="19">
        <f>A5+1</f>
        <v>2029</v>
      </c>
      <c r="B6" s="357">
        <f t="shared" si="0"/>
        <v>10600</v>
      </c>
      <c r="C6" s="358">
        <f>($F$49*$B$49)+($F$50*$B$50)</f>
        <v>700000</v>
      </c>
      <c r="D6" s="359"/>
      <c r="E6" s="360"/>
      <c r="F6" s="361"/>
      <c r="G6" s="299"/>
      <c r="O6" s="299"/>
      <c r="P6" s="299"/>
      <c r="Q6" s="299"/>
      <c r="R6" s="299"/>
      <c r="S6" s="299"/>
      <c r="T6" s="299"/>
      <c r="U6" s="299"/>
      <c r="V6" s="299"/>
      <c r="W6" s="299"/>
      <c r="X6" s="299"/>
      <c r="Y6" s="299"/>
    </row>
    <row r="7" spans="1:25">
      <c r="A7" s="19">
        <f t="shared" ref="A7:A39" si="1">A6+1</f>
        <v>2030</v>
      </c>
      <c r="B7" s="357">
        <f t="shared" si="0"/>
        <v>10600</v>
      </c>
      <c r="C7" s="358">
        <f>$F$47*$B$47</f>
        <v>380000</v>
      </c>
      <c r="D7" s="359"/>
      <c r="E7" s="360"/>
      <c r="F7" s="361"/>
      <c r="G7" s="299"/>
      <c r="O7" s="299"/>
      <c r="P7" s="299"/>
      <c r="Q7" s="299"/>
      <c r="R7" s="299"/>
      <c r="S7" s="299"/>
      <c r="T7" s="299"/>
      <c r="U7" s="299"/>
      <c r="V7" s="299"/>
      <c r="W7" s="299"/>
      <c r="X7" s="299"/>
      <c r="Y7" s="299"/>
    </row>
    <row r="8" spans="1:25">
      <c r="A8" s="19">
        <f t="shared" si="1"/>
        <v>2031</v>
      </c>
      <c r="B8" s="357">
        <f t="shared" si="0"/>
        <v>10600</v>
      </c>
      <c r="C8" s="358">
        <f>($F$46*$B$46)+($F$51*$B$51)</f>
        <v>700000</v>
      </c>
      <c r="D8" s="359"/>
      <c r="E8" s="360"/>
      <c r="F8" s="361"/>
      <c r="G8" s="299"/>
      <c r="O8" s="299"/>
      <c r="P8" s="299"/>
      <c r="Q8" s="299"/>
      <c r="R8" s="299"/>
      <c r="S8" s="299"/>
      <c r="T8" s="299"/>
      <c r="U8" s="299"/>
      <c r="V8" s="299"/>
      <c r="W8" s="299"/>
      <c r="X8" s="299"/>
      <c r="Y8" s="299"/>
    </row>
    <row r="9" spans="1:25">
      <c r="A9" s="19">
        <f t="shared" si="1"/>
        <v>2032</v>
      </c>
      <c r="B9" s="357">
        <f t="shared" si="0"/>
        <v>10600</v>
      </c>
      <c r="C9" s="358">
        <v>0</v>
      </c>
      <c r="D9" s="359"/>
      <c r="E9" s="360"/>
      <c r="F9" s="361"/>
      <c r="G9" s="299"/>
      <c r="O9" s="299"/>
      <c r="P9" s="299"/>
      <c r="Q9" s="299"/>
      <c r="R9" s="299"/>
      <c r="S9" s="299"/>
      <c r="T9" s="299"/>
      <c r="U9" s="299"/>
      <c r="V9" s="299"/>
      <c r="W9" s="299"/>
      <c r="X9" s="299"/>
      <c r="Y9" s="299"/>
    </row>
    <row r="10" spans="1:25">
      <c r="A10" s="19">
        <f t="shared" si="1"/>
        <v>2033</v>
      </c>
      <c r="B10" s="357">
        <f t="shared" si="0"/>
        <v>10600</v>
      </c>
      <c r="C10" s="358">
        <f>$F$48*$B$48</f>
        <v>320000</v>
      </c>
      <c r="D10" s="359"/>
      <c r="E10" s="360"/>
      <c r="F10" s="361"/>
      <c r="G10" s="299"/>
      <c r="O10" s="299"/>
      <c r="P10" s="299"/>
      <c r="Q10" s="299"/>
      <c r="R10" s="299"/>
      <c r="S10" s="299"/>
      <c r="T10" s="299"/>
      <c r="U10" s="299"/>
      <c r="V10" s="299"/>
      <c r="W10" s="299"/>
      <c r="X10" s="299"/>
      <c r="Y10" s="299"/>
    </row>
    <row r="11" spans="1:25">
      <c r="A11" s="19">
        <f t="shared" si="1"/>
        <v>2034</v>
      </c>
      <c r="B11" s="357">
        <f t="shared" si="0"/>
        <v>10600</v>
      </c>
      <c r="C11" s="358">
        <v>0</v>
      </c>
      <c r="D11" s="359">
        <v>100000</v>
      </c>
      <c r="E11" s="360">
        <v>0</v>
      </c>
      <c r="F11" s="361">
        <f t="shared" ref="F11:F40" si="2">(D11+E11)-(B11+C11)</f>
        <v>89400</v>
      </c>
      <c r="G11" s="299"/>
      <c r="O11" s="299"/>
      <c r="P11" s="299"/>
      <c r="Q11" s="299"/>
      <c r="R11" s="299"/>
      <c r="S11" s="299"/>
      <c r="T11" s="299"/>
      <c r="U11" s="299"/>
      <c r="V11" s="299"/>
      <c r="W11" s="299"/>
      <c r="X11" s="299"/>
      <c r="Y11" s="299"/>
    </row>
    <row r="12" spans="1:25" ht="14.45" customHeight="1">
      <c r="A12" s="19">
        <f t="shared" si="1"/>
        <v>2035</v>
      </c>
      <c r="B12" s="357">
        <f t="shared" si="0"/>
        <v>10600</v>
      </c>
      <c r="C12" s="358">
        <v>0</v>
      </c>
      <c r="D12" s="359">
        <v>100000</v>
      </c>
      <c r="E12" s="360">
        <v>0</v>
      </c>
      <c r="F12" s="361">
        <f t="shared" si="2"/>
        <v>89400</v>
      </c>
      <c r="G12" s="299"/>
      <c r="O12" s="299"/>
      <c r="P12" s="299"/>
      <c r="Q12" s="299"/>
      <c r="R12" s="299"/>
      <c r="S12" s="299"/>
      <c r="T12" s="299"/>
      <c r="U12" s="299"/>
      <c r="V12" s="299"/>
      <c r="W12" s="299"/>
      <c r="X12" s="299"/>
      <c r="Y12" s="299"/>
    </row>
    <row r="13" spans="1:25">
      <c r="A13" s="19">
        <f t="shared" si="1"/>
        <v>2036</v>
      </c>
      <c r="B13" s="357">
        <f t="shared" si="0"/>
        <v>10600</v>
      </c>
      <c r="C13" s="358">
        <f>(F49*B49)+(F50*B50)</f>
        <v>700000</v>
      </c>
      <c r="D13" s="359">
        <v>100000</v>
      </c>
      <c r="E13" s="360">
        <v>0</v>
      </c>
      <c r="F13" s="361">
        <f t="shared" si="2"/>
        <v>-610600</v>
      </c>
      <c r="G13" s="299"/>
      <c r="O13" s="299"/>
      <c r="P13" s="299"/>
      <c r="Q13" s="299"/>
      <c r="R13" s="299"/>
      <c r="S13" s="299"/>
      <c r="T13" s="299"/>
      <c r="U13" s="299"/>
      <c r="V13" s="299"/>
      <c r="W13" s="299"/>
      <c r="X13" s="299"/>
      <c r="Y13" s="299"/>
    </row>
    <row r="14" spans="1:25">
      <c r="A14" s="19">
        <f t="shared" si="1"/>
        <v>2037</v>
      </c>
      <c r="B14" s="357">
        <f t="shared" si="0"/>
        <v>10600</v>
      </c>
      <c r="C14" s="358">
        <f>F47*B47</f>
        <v>380000</v>
      </c>
      <c r="D14" s="359">
        <v>100000</v>
      </c>
      <c r="E14" s="360">
        <v>0</v>
      </c>
      <c r="F14" s="361">
        <f t="shared" si="2"/>
        <v>-290600</v>
      </c>
      <c r="G14" s="299"/>
      <c r="O14" s="299"/>
      <c r="P14" s="299"/>
      <c r="Q14" s="299"/>
      <c r="R14" s="299"/>
      <c r="S14" s="299"/>
      <c r="T14" s="299"/>
      <c r="U14" s="299"/>
      <c r="V14" s="299"/>
    </row>
    <row r="15" spans="1:25" ht="14.45" customHeight="1">
      <c r="A15" s="19">
        <f t="shared" si="1"/>
        <v>2038</v>
      </c>
      <c r="B15" s="357">
        <f t="shared" si="0"/>
        <v>10600</v>
      </c>
      <c r="C15" s="358">
        <f>(F46*B46)+(F51*B51)</f>
        <v>700000</v>
      </c>
      <c r="D15" s="359">
        <v>100000</v>
      </c>
      <c r="E15" s="360">
        <v>0</v>
      </c>
      <c r="F15" s="361">
        <f t="shared" si="2"/>
        <v>-610600</v>
      </c>
      <c r="G15" s="299"/>
      <c r="O15" s="299"/>
      <c r="P15" s="299"/>
      <c r="Q15" s="299"/>
      <c r="R15" s="299"/>
      <c r="S15" s="299"/>
      <c r="T15" s="299"/>
      <c r="U15" s="299"/>
      <c r="V15" s="299"/>
    </row>
    <row r="16" spans="1:25">
      <c r="A16" s="19">
        <f t="shared" si="1"/>
        <v>2039</v>
      </c>
      <c r="B16" s="357">
        <f t="shared" si="0"/>
        <v>10600</v>
      </c>
      <c r="C16" s="358">
        <v>0</v>
      </c>
      <c r="D16" s="359">
        <v>100000</v>
      </c>
      <c r="E16" s="360">
        <v>0</v>
      </c>
      <c r="F16" s="361">
        <f t="shared" si="2"/>
        <v>89400</v>
      </c>
      <c r="G16" s="299"/>
      <c r="O16" s="299"/>
      <c r="P16" s="299"/>
      <c r="Q16" s="299"/>
      <c r="R16" s="299"/>
      <c r="S16" s="299"/>
      <c r="T16" s="299"/>
      <c r="U16" s="299"/>
      <c r="V16" s="299"/>
    </row>
    <row r="17" spans="1:23">
      <c r="A17" s="19">
        <f t="shared" si="1"/>
        <v>2040</v>
      </c>
      <c r="B17" s="357">
        <f t="shared" si="0"/>
        <v>10600</v>
      </c>
      <c r="C17" s="358">
        <f>F48*B48</f>
        <v>320000</v>
      </c>
      <c r="D17" s="359">
        <v>100000</v>
      </c>
      <c r="E17" s="360">
        <v>0</v>
      </c>
      <c r="F17" s="361">
        <f t="shared" si="2"/>
        <v>-230600</v>
      </c>
      <c r="G17" s="299"/>
      <c r="O17" s="299"/>
      <c r="P17" s="299"/>
      <c r="Q17" s="299"/>
      <c r="R17" s="299"/>
      <c r="S17" s="299"/>
      <c r="T17" s="299"/>
      <c r="U17" s="299"/>
      <c r="V17" s="299"/>
    </row>
    <row r="18" spans="1:23">
      <c r="A18" s="19">
        <f t="shared" si="1"/>
        <v>2041</v>
      </c>
      <c r="B18" s="357">
        <f t="shared" si="0"/>
        <v>10600</v>
      </c>
      <c r="C18" s="358">
        <v>0</v>
      </c>
      <c r="D18" s="359">
        <v>100000</v>
      </c>
      <c r="E18" s="360">
        <v>0</v>
      </c>
      <c r="F18" s="361">
        <f t="shared" si="2"/>
        <v>89400</v>
      </c>
      <c r="G18" s="299"/>
      <c r="O18" s="299"/>
      <c r="P18" s="299"/>
      <c r="Q18" s="299"/>
      <c r="R18" s="299"/>
      <c r="S18" s="299"/>
      <c r="T18" s="299"/>
      <c r="U18" s="299"/>
      <c r="V18" s="299"/>
    </row>
    <row r="19" spans="1:23">
      <c r="A19" s="19">
        <f t="shared" si="1"/>
        <v>2042</v>
      </c>
      <c r="B19" s="357">
        <f t="shared" si="0"/>
        <v>10600</v>
      </c>
      <c r="C19" s="358">
        <v>0</v>
      </c>
      <c r="D19" s="359">
        <v>100000</v>
      </c>
      <c r="E19" s="360">
        <v>0</v>
      </c>
      <c r="F19" s="361">
        <f t="shared" si="2"/>
        <v>89400</v>
      </c>
      <c r="G19" s="299"/>
      <c r="O19" s="299"/>
      <c r="P19" s="299"/>
      <c r="Q19" s="299"/>
      <c r="R19" s="299"/>
      <c r="S19" s="299"/>
      <c r="T19" s="299"/>
      <c r="U19" s="299"/>
      <c r="V19" s="299"/>
    </row>
    <row r="20" spans="1:23">
      <c r="A20" s="19">
        <f t="shared" si="1"/>
        <v>2043</v>
      </c>
      <c r="B20" s="357">
        <f t="shared" si="0"/>
        <v>10600</v>
      </c>
      <c r="C20" s="358">
        <f>($G$49*$B$49)+($G$50*$B$50)</f>
        <v>1706000</v>
      </c>
      <c r="D20" s="359">
        <v>100000</v>
      </c>
      <c r="E20" s="360">
        <v>0</v>
      </c>
      <c r="F20" s="361">
        <f t="shared" si="2"/>
        <v>-1616600</v>
      </c>
      <c r="G20" s="299"/>
      <c r="O20" s="299"/>
      <c r="P20" s="299"/>
      <c r="Q20" s="299"/>
      <c r="R20" s="299"/>
      <c r="S20" s="299"/>
      <c r="T20" s="299"/>
      <c r="U20" s="299"/>
      <c r="V20" s="299"/>
    </row>
    <row r="21" spans="1:23" ht="16.5">
      <c r="A21" s="19">
        <f t="shared" si="1"/>
        <v>2044</v>
      </c>
      <c r="B21" s="357">
        <f t="shared" si="0"/>
        <v>10600</v>
      </c>
      <c r="C21" s="358">
        <f>$G$47*$B$47</f>
        <v>1066000</v>
      </c>
      <c r="D21" s="359">
        <v>100000</v>
      </c>
      <c r="E21" s="360">
        <v>5000000</v>
      </c>
      <c r="F21" s="361">
        <f t="shared" si="2"/>
        <v>4023400</v>
      </c>
      <c r="G21" s="299"/>
      <c r="H21" s="299"/>
      <c r="I21" s="299"/>
      <c r="J21" s="299"/>
      <c r="K21" s="299"/>
      <c r="L21" s="343"/>
      <c r="M21" s="299"/>
      <c r="N21" s="299"/>
      <c r="O21" s="299"/>
      <c r="P21" s="299"/>
      <c r="Q21" s="299"/>
      <c r="R21" s="299"/>
      <c r="S21" s="299"/>
      <c r="T21" s="299"/>
      <c r="U21" s="299"/>
      <c r="V21" s="299"/>
      <c r="W21" s="299"/>
    </row>
    <row r="22" spans="1:23" ht="16.5">
      <c r="A22" s="19">
        <f t="shared" si="1"/>
        <v>2045</v>
      </c>
      <c r="B22" s="357">
        <f t="shared" si="0"/>
        <v>10600</v>
      </c>
      <c r="C22" s="358">
        <f>($G$46*$B$46)+($G$51*$B$51)</f>
        <v>1706000</v>
      </c>
      <c r="D22" s="359">
        <v>100000</v>
      </c>
      <c r="E22" s="360">
        <v>0</v>
      </c>
      <c r="F22" s="361">
        <f t="shared" si="2"/>
        <v>-1616600</v>
      </c>
      <c r="G22" s="299"/>
      <c r="H22" s="299"/>
      <c r="I22" s="299"/>
      <c r="J22" s="299"/>
      <c r="K22" s="299"/>
      <c r="L22" s="343"/>
      <c r="M22" s="299"/>
      <c r="N22" s="299"/>
      <c r="O22" s="299"/>
      <c r="P22" s="299"/>
      <c r="Q22" s="299"/>
      <c r="R22" s="299"/>
      <c r="S22" s="299"/>
      <c r="T22" s="299"/>
      <c r="U22" s="299"/>
      <c r="V22" s="299"/>
      <c r="W22" s="299"/>
    </row>
    <row r="23" spans="1:23" ht="16.5">
      <c r="A23" s="19">
        <f t="shared" si="1"/>
        <v>2046</v>
      </c>
      <c r="B23" s="357">
        <f t="shared" si="0"/>
        <v>10600</v>
      </c>
      <c r="C23" s="358">
        <v>0</v>
      </c>
      <c r="D23" s="359">
        <v>100000</v>
      </c>
      <c r="E23" s="360">
        <v>0</v>
      </c>
      <c r="F23" s="361">
        <f t="shared" si="2"/>
        <v>89400</v>
      </c>
      <c r="G23" s="299"/>
      <c r="H23" s="299"/>
      <c r="I23" s="299"/>
      <c r="J23" s="299"/>
      <c r="K23" s="299"/>
      <c r="L23" s="343"/>
      <c r="M23" s="299"/>
      <c r="N23" s="299"/>
      <c r="O23" s="299"/>
      <c r="P23" s="299"/>
      <c r="Q23" s="299"/>
      <c r="R23" s="299"/>
      <c r="S23" s="299"/>
      <c r="T23" s="299"/>
      <c r="U23" s="299"/>
      <c r="V23" s="299"/>
      <c r="W23" s="299"/>
    </row>
    <row r="24" spans="1:23" ht="16.5">
      <c r="A24" s="19">
        <f t="shared" si="1"/>
        <v>2047</v>
      </c>
      <c r="B24" s="357">
        <f t="shared" si="0"/>
        <v>10600</v>
      </c>
      <c r="C24" s="358">
        <f>$G$48*$B$48</f>
        <v>640000</v>
      </c>
      <c r="D24" s="359">
        <v>100000</v>
      </c>
      <c r="E24" s="360">
        <v>0</v>
      </c>
      <c r="F24" s="361">
        <f t="shared" si="2"/>
        <v>-550600</v>
      </c>
      <c r="G24" s="299"/>
      <c r="H24" s="299"/>
      <c r="I24" s="299"/>
      <c r="J24" s="299"/>
      <c r="K24" s="299"/>
      <c r="L24" s="343"/>
      <c r="M24" s="299"/>
      <c r="N24" s="299"/>
      <c r="O24" s="299"/>
      <c r="P24" s="299"/>
      <c r="Q24" s="299"/>
      <c r="R24" s="299"/>
      <c r="S24" s="299"/>
      <c r="T24" s="299"/>
      <c r="U24" s="299"/>
      <c r="V24" s="299"/>
      <c r="W24" s="299"/>
    </row>
    <row r="25" spans="1:23" ht="16.5">
      <c r="A25" s="19">
        <f t="shared" si="1"/>
        <v>2048</v>
      </c>
      <c r="B25" s="357">
        <f t="shared" si="0"/>
        <v>10600</v>
      </c>
      <c r="C25" s="358">
        <v>0</v>
      </c>
      <c r="D25" s="359">
        <v>100000</v>
      </c>
      <c r="E25" s="360">
        <v>0</v>
      </c>
      <c r="F25" s="361">
        <f>(D25+E25)-(B25+C25)</f>
        <v>89400</v>
      </c>
      <c r="G25" s="299"/>
      <c r="H25" s="299"/>
      <c r="I25" s="299"/>
      <c r="J25" s="299"/>
      <c r="K25" s="299"/>
      <c r="L25" s="343"/>
      <c r="M25" s="299"/>
      <c r="N25" s="299"/>
      <c r="O25" s="299"/>
      <c r="P25" s="299"/>
      <c r="Q25" s="299"/>
      <c r="R25" s="299"/>
      <c r="S25" s="299"/>
      <c r="T25" s="299"/>
      <c r="U25" s="299"/>
      <c r="V25" s="299"/>
      <c r="W25" s="299"/>
    </row>
    <row r="26" spans="1:23" ht="16.5">
      <c r="A26" s="19">
        <f t="shared" si="1"/>
        <v>2049</v>
      </c>
      <c r="B26" s="357">
        <f t="shared" si="0"/>
        <v>10600</v>
      </c>
      <c r="C26" s="358">
        <v>0</v>
      </c>
      <c r="D26" s="359">
        <v>100000</v>
      </c>
      <c r="E26" s="360">
        <v>0</v>
      </c>
      <c r="F26" s="361">
        <f t="shared" si="2"/>
        <v>89400</v>
      </c>
      <c r="G26" s="299"/>
      <c r="H26" s="299"/>
      <c r="I26" s="299"/>
      <c r="J26" s="299"/>
      <c r="K26" s="299"/>
      <c r="L26" s="343"/>
      <c r="M26" s="299"/>
      <c r="N26" s="299"/>
      <c r="O26" s="299"/>
      <c r="P26" s="299"/>
      <c r="Q26" s="299"/>
      <c r="R26" s="299"/>
      <c r="S26" s="299"/>
      <c r="T26" s="299"/>
      <c r="U26" s="299"/>
      <c r="V26" s="299"/>
      <c r="W26" s="299"/>
    </row>
    <row r="27" spans="1:23" ht="16.5">
      <c r="A27" s="19">
        <f t="shared" si="1"/>
        <v>2050</v>
      </c>
      <c r="B27" s="357">
        <f t="shared" si="0"/>
        <v>10600</v>
      </c>
      <c r="C27" s="358">
        <f>($F$49*$B$49)+($F$50*$B$50)</f>
        <v>700000</v>
      </c>
      <c r="D27" s="359">
        <v>100000</v>
      </c>
      <c r="E27" s="360">
        <v>0</v>
      </c>
      <c r="F27" s="361">
        <f t="shared" si="2"/>
        <v>-610600</v>
      </c>
      <c r="G27" s="299"/>
      <c r="H27" s="299"/>
      <c r="I27" s="299"/>
      <c r="J27" s="299"/>
      <c r="K27" s="299"/>
      <c r="L27" s="343"/>
      <c r="M27" s="299"/>
      <c r="N27" s="299"/>
      <c r="O27" s="299"/>
      <c r="P27" s="299"/>
      <c r="Q27" s="299"/>
      <c r="R27" s="299"/>
      <c r="S27" s="299"/>
      <c r="T27" s="299"/>
      <c r="U27" s="299"/>
      <c r="V27" s="299"/>
      <c r="W27" s="299"/>
    </row>
    <row r="28" spans="1:23" ht="16.5">
      <c r="A28" s="19">
        <f t="shared" si="1"/>
        <v>2051</v>
      </c>
      <c r="B28" s="357">
        <f t="shared" si="0"/>
        <v>10600</v>
      </c>
      <c r="C28" s="358">
        <f>$F$47*$B$47</f>
        <v>380000</v>
      </c>
      <c r="D28" s="359">
        <v>100000</v>
      </c>
      <c r="E28" s="360">
        <v>0</v>
      </c>
      <c r="F28" s="361">
        <f t="shared" si="2"/>
        <v>-290600</v>
      </c>
      <c r="G28" s="299"/>
      <c r="H28" s="6"/>
      <c r="I28" s="299"/>
      <c r="J28" s="299"/>
      <c r="K28" s="299"/>
      <c r="L28" s="343"/>
      <c r="M28" s="299"/>
      <c r="N28" s="299"/>
      <c r="O28" s="299"/>
      <c r="P28" s="299"/>
      <c r="Q28" s="299"/>
      <c r="R28" s="299"/>
      <c r="S28" s="299"/>
      <c r="T28" s="299"/>
      <c r="U28" s="299"/>
      <c r="V28" s="299"/>
      <c r="W28" s="299"/>
    </row>
    <row r="29" spans="1:23">
      <c r="A29" s="19">
        <f t="shared" si="1"/>
        <v>2052</v>
      </c>
      <c r="B29" s="357">
        <f t="shared" si="0"/>
        <v>10600</v>
      </c>
      <c r="C29" s="358">
        <f>($F$46*$B$46)+($F$51*$B$51)</f>
        <v>700000</v>
      </c>
      <c r="D29" s="359">
        <v>100000</v>
      </c>
      <c r="E29" s="360">
        <v>0</v>
      </c>
      <c r="F29" s="361">
        <f t="shared" si="2"/>
        <v>-610600</v>
      </c>
      <c r="G29" s="299"/>
      <c r="H29" s="299"/>
      <c r="I29" s="299"/>
      <c r="J29" s="299"/>
      <c r="K29" s="299"/>
      <c r="L29" s="299"/>
      <c r="M29" s="299"/>
      <c r="N29" s="299"/>
      <c r="O29" s="299"/>
      <c r="P29" s="299"/>
      <c r="Q29" s="299"/>
      <c r="R29" s="299"/>
      <c r="S29" s="299"/>
      <c r="T29" s="299"/>
      <c r="U29" s="299"/>
      <c r="V29" s="299"/>
      <c r="W29" s="299"/>
    </row>
    <row r="30" spans="1:23">
      <c r="A30" s="19">
        <f t="shared" si="1"/>
        <v>2053</v>
      </c>
      <c r="B30" s="357">
        <f t="shared" si="0"/>
        <v>10600</v>
      </c>
      <c r="C30" s="358">
        <v>0</v>
      </c>
      <c r="D30" s="359">
        <v>100000</v>
      </c>
      <c r="E30" s="360">
        <v>0</v>
      </c>
      <c r="F30" s="361">
        <f t="shared" si="2"/>
        <v>89400</v>
      </c>
      <c r="G30" s="299"/>
      <c r="H30" s="299"/>
      <c r="I30" s="299"/>
      <c r="J30" s="299"/>
      <c r="K30" s="299"/>
      <c r="L30" s="299"/>
      <c r="M30" s="299"/>
      <c r="N30" s="299"/>
      <c r="O30" s="299"/>
      <c r="P30" s="299"/>
      <c r="Q30" s="299"/>
      <c r="R30" s="299"/>
      <c r="S30" s="299"/>
      <c r="T30" s="299"/>
      <c r="U30" s="299"/>
      <c r="V30" s="299"/>
      <c r="W30" s="299"/>
    </row>
    <row r="31" spans="1:23">
      <c r="A31" s="19">
        <f t="shared" si="1"/>
        <v>2054</v>
      </c>
      <c r="B31" s="357">
        <f t="shared" si="0"/>
        <v>10600</v>
      </c>
      <c r="C31" s="358">
        <f>$F$48*$B$48</f>
        <v>320000</v>
      </c>
      <c r="D31" s="359">
        <v>100000</v>
      </c>
      <c r="E31" s="360">
        <v>10000000</v>
      </c>
      <c r="F31" s="361">
        <f t="shared" si="2"/>
        <v>9769400</v>
      </c>
      <c r="G31" s="299"/>
      <c r="H31" s="299"/>
      <c r="I31" s="299"/>
      <c r="J31" s="299"/>
      <c r="K31" s="299"/>
      <c r="L31" s="299"/>
      <c r="M31" s="299"/>
      <c r="N31" s="299"/>
      <c r="O31" s="299"/>
      <c r="P31" s="299"/>
      <c r="Q31" s="299"/>
      <c r="R31" s="299"/>
      <c r="S31" s="299"/>
      <c r="T31" s="299"/>
      <c r="U31" s="299"/>
      <c r="V31" s="299"/>
      <c r="W31" s="299"/>
    </row>
    <row r="32" spans="1:23">
      <c r="A32" s="19">
        <f t="shared" si="1"/>
        <v>2055</v>
      </c>
      <c r="B32" s="357">
        <f t="shared" si="0"/>
        <v>10600</v>
      </c>
      <c r="C32" s="358">
        <v>0</v>
      </c>
      <c r="D32" s="359">
        <v>100000</v>
      </c>
      <c r="E32" s="360">
        <v>0</v>
      </c>
      <c r="F32" s="361">
        <f t="shared" si="2"/>
        <v>89400</v>
      </c>
      <c r="G32" s="299"/>
      <c r="H32" s="299"/>
      <c r="I32" s="299"/>
      <c r="J32" s="299"/>
      <c r="K32" s="299"/>
      <c r="L32" s="299"/>
      <c r="M32" s="299"/>
      <c r="N32" s="299"/>
      <c r="O32" s="299"/>
      <c r="P32" s="299"/>
      <c r="Q32" s="299"/>
      <c r="R32" s="299"/>
      <c r="S32" s="299"/>
      <c r="T32" s="299"/>
      <c r="U32" s="299"/>
      <c r="V32" s="299"/>
      <c r="W32" s="299"/>
    </row>
    <row r="33" spans="1:25">
      <c r="A33" s="19">
        <f t="shared" si="1"/>
        <v>2056</v>
      </c>
      <c r="B33" s="357">
        <f t="shared" si="0"/>
        <v>10600</v>
      </c>
      <c r="C33" s="358">
        <v>0</v>
      </c>
      <c r="D33" s="359">
        <v>100000</v>
      </c>
      <c r="E33" s="360">
        <v>0</v>
      </c>
      <c r="F33" s="361">
        <f t="shared" si="2"/>
        <v>89400</v>
      </c>
      <c r="G33" s="299"/>
      <c r="H33" s="299"/>
      <c r="I33" s="299"/>
      <c r="J33" s="299"/>
      <c r="K33" s="299"/>
      <c r="L33" s="299"/>
      <c r="M33" s="299"/>
      <c r="N33" s="299"/>
      <c r="O33" s="299"/>
      <c r="P33" s="299"/>
      <c r="Q33" s="299"/>
      <c r="R33" s="299"/>
      <c r="S33" s="299"/>
      <c r="T33" s="299"/>
      <c r="U33" s="299"/>
      <c r="V33" s="299"/>
      <c r="W33" s="299"/>
    </row>
    <row r="34" spans="1:25">
      <c r="A34" s="19">
        <f t="shared" si="1"/>
        <v>2057</v>
      </c>
      <c r="B34" s="357">
        <f t="shared" si="0"/>
        <v>10600</v>
      </c>
      <c r="C34" s="358">
        <f>($F$49*$B$49)+($F$50*$B$50)</f>
        <v>700000</v>
      </c>
      <c r="D34" s="359">
        <v>100000</v>
      </c>
      <c r="E34" s="360">
        <v>0</v>
      </c>
      <c r="F34" s="361">
        <f t="shared" si="2"/>
        <v>-610600</v>
      </c>
      <c r="G34" s="299"/>
      <c r="H34" s="299"/>
      <c r="I34" s="299"/>
      <c r="J34" s="299"/>
      <c r="K34" s="299"/>
      <c r="L34" s="299"/>
      <c r="M34" s="299"/>
      <c r="N34" s="299"/>
      <c r="O34" s="299"/>
      <c r="P34" s="299"/>
      <c r="Q34" s="299"/>
      <c r="R34" s="299"/>
      <c r="S34" s="299"/>
      <c r="T34" s="299"/>
      <c r="U34" s="299"/>
      <c r="V34" s="299"/>
      <c r="W34" s="299"/>
    </row>
    <row r="35" spans="1:25">
      <c r="A35" s="19">
        <f t="shared" si="1"/>
        <v>2058</v>
      </c>
      <c r="B35" s="357">
        <f t="shared" si="0"/>
        <v>10600</v>
      </c>
      <c r="C35" s="358">
        <f>$F$47*$B$47</f>
        <v>380000</v>
      </c>
      <c r="D35" s="359">
        <v>100000</v>
      </c>
      <c r="E35" s="360">
        <v>0</v>
      </c>
      <c r="F35" s="361">
        <f t="shared" si="2"/>
        <v>-290600</v>
      </c>
      <c r="G35" s="299"/>
      <c r="H35" s="299"/>
      <c r="I35" s="299"/>
      <c r="J35" s="299"/>
      <c r="K35" s="299"/>
      <c r="L35" s="299"/>
      <c r="M35" s="299"/>
      <c r="N35" s="299"/>
      <c r="O35" s="299"/>
      <c r="P35" s="299"/>
      <c r="Q35" s="299"/>
      <c r="R35" s="299"/>
      <c r="S35" s="299"/>
      <c r="T35" s="299"/>
      <c r="U35" s="299"/>
      <c r="V35" s="299"/>
      <c r="W35" s="299"/>
    </row>
    <row r="36" spans="1:25">
      <c r="A36" s="19">
        <f t="shared" si="1"/>
        <v>2059</v>
      </c>
      <c r="B36" s="357">
        <f t="shared" si="0"/>
        <v>10600</v>
      </c>
      <c r="C36" s="358">
        <f>($F$46*$B$46)+($F$51*$B$51)</f>
        <v>700000</v>
      </c>
      <c r="D36" s="359">
        <v>100000</v>
      </c>
      <c r="E36" s="360">
        <v>0</v>
      </c>
      <c r="F36" s="361">
        <f t="shared" si="2"/>
        <v>-610600</v>
      </c>
      <c r="G36" s="299"/>
      <c r="H36" s="299"/>
      <c r="I36" s="299"/>
      <c r="J36" s="299"/>
      <c r="K36" s="299"/>
      <c r="L36" s="299"/>
      <c r="M36" s="299"/>
      <c r="N36" s="299"/>
      <c r="O36" s="299"/>
      <c r="P36" s="299"/>
      <c r="Q36" s="299"/>
      <c r="R36" s="299"/>
      <c r="S36" s="299"/>
      <c r="T36" s="299"/>
      <c r="U36" s="299"/>
      <c r="V36" s="299"/>
      <c r="W36" s="299"/>
    </row>
    <row r="37" spans="1:25">
      <c r="A37" s="19">
        <f t="shared" si="1"/>
        <v>2060</v>
      </c>
      <c r="B37" s="357">
        <f t="shared" si="0"/>
        <v>10600</v>
      </c>
      <c r="C37" s="358">
        <v>0</v>
      </c>
      <c r="D37" s="359">
        <v>100000</v>
      </c>
      <c r="E37" s="360">
        <v>0</v>
      </c>
      <c r="F37" s="361">
        <f t="shared" si="2"/>
        <v>89400</v>
      </c>
      <c r="G37" s="299"/>
      <c r="H37" s="299"/>
      <c r="I37" s="299"/>
      <c r="J37" s="299"/>
      <c r="K37" s="299"/>
      <c r="L37" s="299"/>
      <c r="M37" s="299"/>
      <c r="N37" s="299"/>
      <c r="O37" s="299"/>
      <c r="P37" s="299"/>
      <c r="Q37" s="299"/>
      <c r="R37" s="299"/>
      <c r="S37" s="299"/>
      <c r="T37" s="299"/>
      <c r="U37" s="299"/>
      <c r="V37" s="299"/>
      <c r="W37" s="299"/>
    </row>
    <row r="38" spans="1:25">
      <c r="A38" s="19">
        <f t="shared" si="1"/>
        <v>2061</v>
      </c>
      <c r="B38" s="357">
        <f t="shared" si="0"/>
        <v>10600</v>
      </c>
      <c r="C38" s="358">
        <f>$F$48*$B$48</f>
        <v>320000</v>
      </c>
      <c r="D38" s="359">
        <v>100000</v>
      </c>
      <c r="E38" s="360">
        <v>0</v>
      </c>
      <c r="F38" s="361">
        <f t="shared" si="2"/>
        <v>-230600</v>
      </c>
      <c r="G38" s="299"/>
      <c r="H38" s="299"/>
      <c r="I38" s="299"/>
      <c r="J38" s="299"/>
      <c r="K38" s="299"/>
      <c r="L38" s="299"/>
      <c r="M38" s="299"/>
      <c r="N38" s="299"/>
      <c r="O38" s="299"/>
      <c r="P38" s="299"/>
      <c r="Q38" s="299"/>
      <c r="R38" s="299"/>
      <c r="S38" s="299"/>
      <c r="T38" s="299"/>
      <c r="U38" s="299"/>
      <c r="V38" s="299"/>
      <c r="W38" s="299"/>
    </row>
    <row r="39" spans="1:25">
      <c r="A39" s="19">
        <f t="shared" si="1"/>
        <v>2062</v>
      </c>
      <c r="B39" s="357">
        <f t="shared" si="0"/>
        <v>10600</v>
      </c>
      <c r="C39" s="358">
        <v>0</v>
      </c>
      <c r="D39" s="359">
        <v>100000</v>
      </c>
      <c r="E39" s="360">
        <v>0</v>
      </c>
      <c r="F39" s="361">
        <f t="shared" si="2"/>
        <v>89400</v>
      </c>
      <c r="G39" s="299"/>
      <c r="H39" s="299"/>
      <c r="I39" s="299"/>
      <c r="J39" s="299"/>
      <c r="K39" s="299"/>
      <c r="L39" s="299"/>
      <c r="M39" s="299"/>
      <c r="N39" s="299"/>
      <c r="O39" s="299"/>
      <c r="P39" s="299"/>
      <c r="Q39" s="299"/>
      <c r="R39" s="299"/>
      <c r="S39" s="299"/>
      <c r="T39" s="299"/>
      <c r="U39" s="299"/>
      <c r="V39" s="299"/>
      <c r="W39" s="299"/>
    </row>
    <row r="40" spans="1:25" ht="13.5" thickBot="1">
      <c r="A40" s="33">
        <f>A39+1</f>
        <v>2063</v>
      </c>
      <c r="B40" s="362">
        <f t="shared" si="0"/>
        <v>10600</v>
      </c>
      <c r="C40" s="363">
        <v>0</v>
      </c>
      <c r="D40" s="359">
        <v>100000</v>
      </c>
      <c r="E40" s="365">
        <v>0</v>
      </c>
      <c r="F40" s="364">
        <f t="shared" si="2"/>
        <v>89400</v>
      </c>
      <c r="G40" s="299"/>
      <c r="H40" s="299"/>
      <c r="I40" s="299"/>
      <c r="J40" s="299"/>
      <c r="K40" s="299"/>
      <c r="L40" s="299"/>
      <c r="M40" s="299"/>
      <c r="N40" s="299"/>
      <c r="O40" s="299"/>
      <c r="P40" s="299"/>
      <c r="Q40" s="299"/>
      <c r="R40" s="299"/>
      <c r="S40" s="299"/>
      <c r="T40" s="299"/>
      <c r="U40" s="299"/>
      <c r="V40" s="299"/>
      <c r="W40" s="299"/>
    </row>
    <row r="41" spans="1:25" ht="13.5" thickTop="1">
      <c r="A41" s="20" t="s">
        <v>51</v>
      </c>
      <c r="B41" s="366">
        <f>SUM(B5:B40)</f>
        <v>381600</v>
      </c>
      <c r="C41" s="367">
        <f t="shared" ref="C41:E41" si="3">SUM(C5:C40)</f>
        <v>13518000</v>
      </c>
      <c r="D41" s="366">
        <f t="shared" si="3"/>
        <v>3000000</v>
      </c>
      <c r="E41" s="367">
        <f t="shared" si="3"/>
        <v>15000000</v>
      </c>
      <c r="F41" s="366">
        <f>SUM(F5:F40)</f>
        <v>6264000</v>
      </c>
      <c r="G41" s="299"/>
      <c r="H41" s="299"/>
      <c r="I41" s="299"/>
      <c r="J41" s="299"/>
      <c r="K41" s="299"/>
      <c r="L41" s="299"/>
      <c r="M41" s="299"/>
      <c r="N41" s="299"/>
      <c r="O41" s="299"/>
      <c r="P41" s="299"/>
      <c r="Q41" s="299"/>
      <c r="R41" s="299"/>
      <c r="S41" s="299"/>
      <c r="T41" s="299"/>
      <c r="U41" s="299"/>
      <c r="V41" s="299"/>
      <c r="W41" s="299"/>
    </row>
    <row r="42" spans="1:25">
      <c r="A42" s="299"/>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row>
    <row r="43" spans="1:25">
      <c r="A43" s="299"/>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row>
    <row r="44" spans="1:25">
      <c r="A44" s="619" t="s">
        <v>82</v>
      </c>
      <c r="B44" s="620"/>
      <c r="C44" s="620"/>
      <c r="D44" s="620"/>
      <c r="E44" s="620"/>
      <c r="F44" s="620"/>
      <c r="G44" s="621"/>
      <c r="H44" s="299"/>
      <c r="I44" s="299"/>
      <c r="J44" s="299"/>
      <c r="K44" s="299"/>
      <c r="L44" s="299"/>
      <c r="M44" s="299"/>
      <c r="N44" s="299"/>
      <c r="O44" s="299"/>
      <c r="P44" s="299"/>
      <c r="Q44" s="299"/>
      <c r="R44" s="299"/>
      <c r="S44" s="299"/>
      <c r="T44" s="299"/>
      <c r="U44" s="299"/>
      <c r="V44" s="299"/>
      <c r="W44" s="299"/>
      <c r="X44" s="299"/>
      <c r="Y44" s="299"/>
    </row>
    <row r="45" spans="1:25" ht="38.25">
      <c r="A45" s="547" t="s">
        <v>83</v>
      </c>
      <c r="B45" s="547" t="s">
        <v>84</v>
      </c>
      <c r="C45" s="547" t="s">
        <v>85</v>
      </c>
      <c r="D45" s="547" t="s">
        <v>86</v>
      </c>
      <c r="E45" s="547" t="s">
        <v>87</v>
      </c>
      <c r="F45" s="547" t="s">
        <v>88</v>
      </c>
      <c r="G45" s="547" t="s">
        <v>89</v>
      </c>
      <c r="H45" s="299"/>
      <c r="I45" s="299"/>
      <c r="J45" s="299"/>
      <c r="K45" s="299"/>
      <c r="L45" s="299"/>
      <c r="M45" s="299"/>
      <c r="N45" s="299"/>
      <c r="O45" s="299"/>
      <c r="P45" s="299"/>
      <c r="Q45" s="299"/>
      <c r="R45" s="299"/>
      <c r="S45" s="299"/>
      <c r="T45" s="299"/>
      <c r="U45" s="299"/>
      <c r="V45" s="299"/>
      <c r="W45" s="299"/>
      <c r="X45" s="299"/>
      <c r="Y45" s="299"/>
    </row>
    <row r="46" spans="1:25">
      <c r="A46" s="347" t="s">
        <v>90</v>
      </c>
      <c r="B46" s="449">
        <v>2</v>
      </c>
      <c r="C46" s="450">
        <v>2040</v>
      </c>
      <c r="D46" s="450">
        <v>7</v>
      </c>
      <c r="E46" s="348"/>
      <c r="F46" s="451">
        <v>190000</v>
      </c>
      <c r="G46" s="451">
        <v>533000</v>
      </c>
      <c r="H46" s="299"/>
      <c r="I46" s="299"/>
      <c r="J46" s="299"/>
      <c r="K46" s="299"/>
      <c r="L46" s="299"/>
      <c r="M46" s="299"/>
      <c r="N46" s="299"/>
      <c r="O46" s="299"/>
      <c r="P46" s="299"/>
      <c r="Q46" s="299"/>
      <c r="R46" s="299"/>
      <c r="S46" s="299"/>
      <c r="T46" s="299"/>
      <c r="U46" s="299"/>
      <c r="V46" s="299"/>
      <c r="W46" s="299"/>
      <c r="X46" s="299"/>
      <c r="Y46" s="299"/>
    </row>
    <row r="47" spans="1:25">
      <c r="A47" s="347" t="s">
        <v>91</v>
      </c>
      <c r="B47" s="449">
        <v>2</v>
      </c>
      <c r="C47" s="450">
        <v>2040</v>
      </c>
      <c r="D47" s="450">
        <v>7</v>
      </c>
      <c r="E47" s="348"/>
      <c r="F47" s="451">
        <v>190000</v>
      </c>
      <c r="G47" s="451">
        <v>533000</v>
      </c>
      <c r="H47" s="299"/>
      <c r="I47" s="299"/>
      <c r="J47" s="299"/>
      <c r="K47" s="299"/>
      <c r="L47" s="299"/>
      <c r="M47" s="299"/>
      <c r="N47" s="299"/>
      <c r="O47" s="299"/>
      <c r="P47" s="299"/>
      <c r="Q47" s="299"/>
      <c r="R47" s="299"/>
      <c r="S47" s="299"/>
      <c r="T47" s="299"/>
      <c r="U47" s="299"/>
      <c r="V47" s="299"/>
      <c r="W47" s="299"/>
      <c r="X47" s="299"/>
      <c r="Y47" s="299"/>
    </row>
    <row r="48" spans="1:25">
      <c r="A48" s="347" t="s">
        <v>92</v>
      </c>
      <c r="B48" s="449">
        <v>2</v>
      </c>
      <c r="C48" s="348"/>
      <c r="D48" s="450">
        <v>7</v>
      </c>
      <c r="E48" s="450">
        <v>15</v>
      </c>
      <c r="F48" s="451">
        <v>160000</v>
      </c>
      <c r="G48" s="451">
        <v>320000</v>
      </c>
      <c r="H48" s="299"/>
      <c r="I48" s="299"/>
      <c r="J48" s="299"/>
      <c r="K48" s="299"/>
      <c r="L48" s="299"/>
      <c r="M48" s="299"/>
      <c r="N48" s="299"/>
      <c r="O48" s="299"/>
      <c r="P48" s="299"/>
      <c r="Q48" s="299"/>
      <c r="R48" s="299"/>
      <c r="S48" s="299"/>
      <c r="T48" s="299"/>
      <c r="U48" s="299"/>
      <c r="V48" s="299"/>
      <c r="W48" s="299"/>
      <c r="X48" s="299"/>
      <c r="Y48" s="299"/>
    </row>
    <row r="49" spans="1:25">
      <c r="A49" s="347" t="s">
        <v>93</v>
      </c>
      <c r="B49" s="449">
        <v>2</v>
      </c>
      <c r="C49" s="450">
        <v>2040</v>
      </c>
      <c r="D49" s="450">
        <v>7</v>
      </c>
      <c r="E49" s="348"/>
      <c r="F49" s="451">
        <v>190000</v>
      </c>
      <c r="G49" s="451">
        <v>533000</v>
      </c>
      <c r="H49" s="299"/>
      <c r="I49" s="299"/>
      <c r="J49" s="299"/>
      <c r="K49" s="299"/>
      <c r="L49" s="299"/>
      <c r="M49" s="299"/>
      <c r="N49" s="299"/>
      <c r="O49" s="299"/>
      <c r="P49" s="299"/>
      <c r="Q49" s="299"/>
      <c r="R49" s="299"/>
      <c r="S49" s="299"/>
      <c r="T49" s="299"/>
      <c r="U49" s="299"/>
      <c r="V49" s="299"/>
      <c r="W49" s="299"/>
      <c r="X49" s="299"/>
      <c r="Y49" s="299"/>
    </row>
    <row r="50" spans="1:25">
      <c r="A50" s="347" t="s">
        <v>92</v>
      </c>
      <c r="B50" s="449">
        <v>2</v>
      </c>
      <c r="C50" s="348"/>
      <c r="D50" s="450">
        <v>7</v>
      </c>
      <c r="E50" s="450">
        <v>15</v>
      </c>
      <c r="F50" s="451">
        <v>160000</v>
      </c>
      <c r="G50" s="451">
        <v>320000</v>
      </c>
      <c r="H50" s="299"/>
      <c r="I50" s="299"/>
      <c r="J50" s="299"/>
      <c r="K50" s="299"/>
      <c r="L50" s="299"/>
      <c r="M50" s="299"/>
      <c r="N50" s="299"/>
      <c r="O50" s="299"/>
      <c r="P50" s="299"/>
      <c r="Q50" s="299"/>
      <c r="R50" s="299"/>
      <c r="S50" s="299"/>
      <c r="T50" s="299"/>
      <c r="U50" s="299"/>
      <c r="V50" s="299"/>
      <c r="W50" s="299"/>
      <c r="X50" s="299"/>
      <c r="Y50" s="299"/>
    </row>
    <row r="51" spans="1:25">
      <c r="A51" s="347" t="s">
        <v>92</v>
      </c>
      <c r="B51" s="449">
        <v>2</v>
      </c>
      <c r="C51" s="348"/>
      <c r="D51" s="450">
        <v>7</v>
      </c>
      <c r="E51" s="450">
        <v>15</v>
      </c>
      <c r="F51" s="451">
        <v>160000</v>
      </c>
      <c r="G51" s="451">
        <v>320000</v>
      </c>
      <c r="H51" s="299"/>
      <c r="I51" s="299"/>
      <c r="J51" s="299"/>
      <c r="K51" s="299"/>
      <c r="L51" s="299"/>
      <c r="M51" s="299"/>
      <c r="N51" s="299"/>
      <c r="O51" s="299"/>
      <c r="P51" s="299"/>
      <c r="Q51" s="299"/>
      <c r="R51" s="299"/>
      <c r="S51" s="299"/>
      <c r="T51" s="299"/>
      <c r="U51" s="299"/>
      <c r="V51" s="299"/>
      <c r="W51" s="299"/>
      <c r="X51" s="299"/>
      <c r="Y51" s="299"/>
    </row>
    <row r="52" spans="1:25">
      <c r="A52" s="347" t="s">
        <v>94</v>
      </c>
      <c r="B52" s="449">
        <v>2</v>
      </c>
      <c r="C52" s="348"/>
      <c r="D52" s="450">
        <v>1</v>
      </c>
      <c r="E52" s="348"/>
      <c r="F52" s="451">
        <v>5300</v>
      </c>
      <c r="G52" s="349"/>
      <c r="H52" s="299"/>
      <c r="I52" s="299"/>
      <c r="J52" s="299"/>
      <c r="K52" s="299"/>
      <c r="L52" s="299"/>
      <c r="M52" s="299"/>
      <c r="N52" s="299"/>
      <c r="O52" s="299"/>
      <c r="P52" s="299"/>
      <c r="Q52" s="299"/>
      <c r="R52" s="299"/>
      <c r="S52" s="299"/>
      <c r="T52" s="299"/>
      <c r="U52" s="299"/>
      <c r="V52" s="299"/>
      <c r="W52" s="299"/>
      <c r="X52" s="299"/>
      <c r="Y52" s="299"/>
    </row>
    <row r="53" spans="1:25">
      <c r="A53" s="622" t="s">
        <v>95</v>
      </c>
      <c r="B53" s="623"/>
      <c r="C53" s="623"/>
      <c r="D53" s="623"/>
      <c r="E53" s="623"/>
      <c r="F53" s="623"/>
      <c r="G53" s="624"/>
      <c r="H53" s="299"/>
      <c r="I53" s="299"/>
      <c r="J53" s="299"/>
      <c r="K53" s="299"/>
      <c r="L53" s="299"/>
      <c r="M53" s="299"/>
      <c r="N53" s="299"/>
      <c r="O53" s="299"/>
      <c r="P53" s="299"/>
      <c r="Q53" s="299"/>
      <c r="R53" s="299"/>
      <c r="S53" s="299"/>
      <c r="T53" s="299"/>
      <c r="U53" s="299"/>
      <c r="V53" s="299"/>
      <c r="W53" s="299"/>
      <c r="X53" s="299"/>
      <c r="Y53" s="299"/>
    </row>
    <row r="54" spans="1:25" ht="16.5">
      <c r="A54" s="299"/>
      <c r="B54" s="299"/>
      <c r="C54" s="299"/>
      <c r="D54" s="299"/>
      <c r="E54" s="299"/>
      <c r="F54" s="299"/>
      <c r="G54" s="343"/>
      <c r="H54" s="299"/>
      <c r="I54" s="299"/>
      <c r="J54" s="299"/>
      <c r="K54" s="299"/>
      <c r="L54" s="299"/>
      <c r="M54" s="299"/>
      <c r="N54" s="299"/>
      <c r="O54" s="299"/>
      <c r="P54" s="299"/>
      <c r="Q54" s="299"/>
      <c r="R54" s="299"/>
      <c r="S54" s="299"/>
      <c r="T54" s="299"/>
      <c r="U54" s="299"/>
      <c r="V54" s="299"/>
      <c r="W54" s="299"/>
      <c r="X54" s="299"/>
      <c r="Y54" s="299"/>
    </row>
    <row r="55" spans="1:25">
      <c r="K55" s="299"/>
      <c r="L55" s="299"/>
      <c r="M55" s="299"/>
      <c r="N55" s="299"/>
      <c r="O55" s="299"/>
      <c r="P55" s="299"/>
      <c r="Q55" s="299"/>
      <c r="R55" s="299"/>
      <c r="S55" s="299"/>
      <c r="T55" s="299"/>
      <c r="U55" s="299"/>
      <c r="V55" s="299"/>
      <c r="W55" s="299"/>
      <c r="X55" s="299"/>
      <c r="Y55" s="299"/>
    </row>
    <row r="56" spans="1:25">
      <c r="K56" s="299"/>
      <c r="L56" s="299"/>
      <c r="M56" s="299"/>
      <c r="N56" s="299"/>
      <c r="O56" s="299"/>
      <c r="P56" s="299"/>
      <c r="Q56" s="299"/>
      <c r="R56" s="299"/>
      <c r="S56" s="299"/>
      <c r="T56" s="299"/>
      <c r="U56" s="299"/>
      <c r="V56" s="299"/>
      <c r="W56" s="299"/>
      <c r="X56" s="299"/>
      <c r="Y56" s="299"/>
    </row>
    <row r="57" spans="1:25">
      <c r="K57" s="299"/>
      <c r="L57" s="299"/>
      <c r="M57" s="299"/>
      <c r="N57" s="299"/>
      <c r="O57" s="299"/>
      <c r="P57" s="299"/>
      <c r="Q57" s="299"/>
      <c r="R57" s="299"/>
      <c r="S57" s="299"/>
      <c r="T57" s="299"/>
      <c r="U57" s="299"/>
      <c r="V57" s="299"/>
      <c r="W57" s="299"/>
      <c r="X57" s="299"/>
      <c r="Y57" s="299"/>
    </row>
    <row r="58" spans="1:25">
      <c r="K58" s="299"/>
      <c r="L58" s="299"/>
      <c r="M58" s="299"/>
      <c r="N58" s="299"/>
      <c r="O58" s="299"/>
      <c r="P58" s="299"/>
      <c r="Q58" s="299"/>
      <c r="R58" s="299"/>
      <c r="S58" s="299"/>
      <c r="T58" s="299"/>
      <c r="U58" s="299"/>
      <c r="V58" s="299"/>
      <c r="W58" s="299"/>
      <c r="X58" s="299"/>
      <c r="Y58" s="299"/>
    </row>
    <row r="59" spans="1:25">
      <c r="K59" s="299"/>
      <c r="L59" s="299"/>
      <c r="M59" s="299"/>
      <c r="N59" s="299"/>
      <c r="O59" s="299"/>
      <c r="P59" s="299"/>
      <c r="Q59" s="299"/>
      <c r="R59" s="299"/>
      <c r="S59" s="299"/>
      <c r="T59" s="299"/>
      <c r="U59" s="299"/>
      <c r="V59" s="299"/>
      <c r="W59" s="299"/>
      <c r="X59" s="299"/>
      <c r="Y59" s="299"/>
    </row>
    <row r="60" spans="1:25">
      <c r="K60" s="299"/>
      <c r="L60" s="299"/>
      <c r="M60" s="299"/>
      <c r="N60" s="299"/>
      <c r="O60" s="299"/>
      <c r="P60" s="299"/>
      <c r="Q60" s="299"/>
      <c r="R60" s="299"/>
      <c r="S60" s="299"/>
      <c r="T60" s="299"/>
      <c r="U60" s="299"/>
      <c r="V60" s="299"/>
      <c r="W60" s="299"/>
      <c r="X60" s="299"/>
      <c r="Y60" s="299"/>
    </row>
    <row r="61" spans="1:25">
      <c r="M61" s="299"/>
      <c r="N61" s="299"/>
      <c r="O61" s="299"/>
      <c r="P61" s="299"/>
      <c r="Q61" s="299"/>
      <c r="R61" s="299"/>
      <c r="S61" s="299"/>
      <c r="T61" s="299"/>
      <c r="U61" s="299"/>
      <c r="V61" s="299"/>
      <c r="W61" s="299"/>
      <c r="X61" s="299"/>
      <c r="Y61" s="299"/>
    </row>
    <row r="62" spans="1:25">
      <c r="M62" s="299"/>
      <c r="N62" s="299"/>
      <c r="O62" s="299"/>
      <c r="P62" s="299"/>
      <c r="Q62" s="299"/>
      <c r="R62" s="299"/>
      <c r="S62" s="299"/>
      <c r="T62" s="299"/>
      <c r="U62" s="299"/>
      <c r="V62" s="299"/>
      <c r="W62" s="299"/>
      <c r="X62" s="299"/>
      <c r="Y62" s="299"/>
    </row>
    <row r="63" spans="1:25">
      <c r="M63" s="299"/>
      <c r="N63" s="299"/>
      <c r="O63" s="299"/>
      <c r="P63" s="299"/>
      <c r="Q63" s="299"/>
      <c r="R63" s="299"/>
      <c r="S63" s="299"/>
      <c r="T63" s="299"/>
      <c r="U63" s="299"/>
      <c r="V63" s="299"/>
      <c r="W63" s="299"/>
      <c r="X63" s="299"/>
      <c r="Y63" s="299"/>
    </row>
  </sheetData>
  <mergeCells count="3">
    <mergeCell ref="A44:G44"/>
    <mergeCell ref="A53:G53"/>
    <mergeCell ref="A3:F3"/>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Z75"/>
  <sheetViews>
    <sheetView zoomScale="90" zoomScaleNormal="90" workbookViewId="0">
      <selection activeCell="G6" sqref="G6"/>
    </sheetView>
  </sheetViews>
  <sheetFormatPr defaultRowHeight="12.75"/>
  <cols>
    <col min="1" max="1" width="16.28515625" customWidth="1"/>
    <col min="2" max="2" width="5.7109375" customWidth="1"/>
    <col min="3" max="3" width="12.5703125" customWidth="1"/>
    <col min="4" max="4" width="1.28515625" customWidth="1"/>
    <col min="5" max="5" width="7.5703125" customWidth="1"/>
    <col min="6" max="6" width="12.7109375" customWidth="1"/>
    <col min="7" max="7" width="13.85546875" bestFit="1" customWidth="1"/>
    <col min="8" max="8" width="11.140625" customWidth="1"/>
    <col min="9" max="9" width="10.5703125" customWidth="1"/>
  </cols>
  <sheetData>
    <row r="1" spans="1:26" ht="16.5">
      <c r="A1" s="341" t="s">
        <v>96</v>
      </c>
      <c r="B1" s="299"/>
      <c r="C1" s="299"/>
      <c r="D1" s="299"/>
      <c r="E1" s="299"/>
      <c r="F1" s="299"/>
      <c r="G1" s="299"/>
      <c r="H1" s="299"/>
      <c r="I1" s="299"/>
      <c r="J1" s="299"/>
      <c r="K1" s="299"/>
      <c r="L1" s="299"/>
      <c r="M1" s="299"/>
      <c r="N1" s="299"/>
      <c r="O1" s="299"/>
      <c r="P1" s="299"/>
      <c r="Q1" s="299"/>
      <c r="R1" s="299"/>
      <c r="S1" s="299"/>
      <c r="T1" s="299"/>
      <c r="U1" s="299"/>
      <c r="V1" s="299"/>
      <c r="W1" s="299"/>
      <c r="X1" s="299"/>
      <c r="Y1" s="299"/>
      <c r="Z1" s="299"/>
    </row>
    <row r="2" spans="1:26">
      <c r="A2" s="299"/>
      <c r="B2" s="299"/>
      <c r="C2" s="299"/>
      <c r="D2" s="299"/>
      <c r="E2" s="299"/>
      <c r="F2" s="299"/>
      <c r="G2" s="299"/>
      <c r="H2" s="299"/>
      <c r="I2" s="299"/>
      <c r="J2" s="299"/>
      <c r="K2" s="299"/>
      <c r="L2" s="299"/>
      <c r="M2" s="299"/>
      <c r="N2" s="299"/>
      <c r="O2" s="299"/>
      <c r="P2" s="299"/>
      <c r="Q2" s="299"/>
      <c r="R2" s="299"/>
      <c r="S2" s="299"/>
      <c r="T2" s="299"/>
      <c r="U2" s="299"/>
      <c r="V2" s="299"/>
      <c r="W2" s="299"/>
      <c r="X2" s="299"/>
      <c r="Y2" s="299"/>
      <c r="Z2" s="299"/>
    </row>
    <row r="3" spans="1:26">
      <c r="A3" s="628" t="s">
        <v>97</v>
      </c>
      <c r="B3" s="628"/>
      <c r="C3" s="444">
        <v>39900000</v>
      </c>
      <c r="D3" s="299"/>
      <c r="E3" s="625" t="s">
        <v>98</v>
      </c>
      <c r="F3" s="626"/>
      <c r="G3" s="626"/>
      <c r="H3" s="626"/>
      <c r="I3" s="627"/>
      <c r="J3" s="299"/>
      <c r="K3" s="299"/>
      <c r="L3" s="299"/>
      <c r="M3" s="299"/>
      <c r="N3" s="299"/>
      <c r="O3" s="299"/>
      <c r="P3" s="299"/>
      <c r="Q3" s="299"/>
      <c r="R3" s="299"/>
      <c r="S3" s="299"/>
      <c r="T3" s="299"/>
      <c r="U3" s="299"/>
      <c r="V3" s="299"/>
      <c r="W3" s="299"/>
      <c r="X3" s="299"/>
      <c r="Y3" s="299"/>
      <c r="Z3" s="299"/>
    </row>
    <row r="4" spans="1:26" ht="26.25" thickBot="1">
      <c r="A4" s="628" t="s">
        <v>99</v>
      </c>
      <c r="B4" s="628"/>
      <c r="C4" s="395">
        <f>((C5-30)/C5)*C3</f>
        <v>15960000</v>
      </c>
      <c r="D4" s="299"/>
      <c r="E4" s="568" t="s">
        <v>76</v>
      </c>
      <c r="F4" s="581" t="s">
        <v>100</v>
      </c>
      <c r="G4" s="581" t="s">
        <v>101</v>
      </c>
      <c r="H4" s="581" t="s">
        <v>102</v>
      </c>
      <c r="I4" s="581" t="s">
        <v>103</v>
      </c>
      <c r="J4" s="299"/>
      <c r="K4" s="299"/>
      <c r="L4" s="299"/>
      <c r="M4" s="299"/>
      <c r="N4" s="299"/>
      <c r="O4" s="299"/>
      <c r="P4" s="299"/>
      <c r="Q4" s="299"/>
      <c r="R4" s="299"/>
      <c r="S4" s="299"/>
      <c r="T4" s="299"/>
      <c r="U4" s="299"/>
      <c r="V4" s="299"/>
      <c r="W4" s="299"/>
      <c r="X4" s="299"/>
      <c r="Y4" s="299"/>
      <c r="Z4" s="299"/>
    </row>
    <row r="5" spans="1:26" ht="13.5" thickTop="1">
      <c r="A5" s="628" t="s">
        <v>104</v>
      </c>
      <c r="B5" s="628"/>
      <c r="C5" s="448">
        <v>50</v>
      </c>
      <c r="D5" s="299"/>
      <c r="E5" s="19">
        <v>2028</v>
      </c>
      <c r="F5" s="24"/>
      <c r="G5" s="351">
        <v>135000</v>
      </c>
      <c r="H5" s="352">
        <f>Maintenance!F5</f>
        <v>0</v>
      </c>
      <c r="I5" s="353">
        <f>ROUND((G5+H5)*NPV!C3,0)</f>
        <v>135000</v>
      </c>
      <c r="J5" s="299"/>
      <c r="K5" s="299"/>
      <c r="L5" s="299"/>
      <c r="M5" s="299"/>
      <c r="N5" s="299"/>
      <c r="O5" s="299"/>
      <c r="P5" s="299"/>
      <c r="Q5" s="299"/>
      <c r="R5" s="299"/>
      <c r="S5" s="299"/>
      <c r="T5" s="299"/>
      <c r="U5" s="299"/>
      <c r="V5" s="299"/>
      <c r="W5" s="299"/>
      <c r="X5" s="299"/>
      <c r="Y5" s="299"/>
      <c r="Z5" s="299"/>
    </row>
    <row r="6" spans="1:26">
      <c r="A6" s="308"/>
      <c r="B6" s="299"/>
      <c r="C6" s="299"/>
      <c r="D6" s="299"/>
      <c r="E6" s="19">
        <f>E5+1</f>
        <v>2029</v>
      </c>
      <c r="F6" s="24"/>
      <c r="G6" s="351">
        <f t="shared" ref="G6:G36" si="0">F6*$C$3</f>
        <v>0</v>
      </c>
      <c r="H6" s="352">
        <f>Maintenance!F6</f>
        <v>0</v>
      </c>
      <c r="I6" s="353">
        <f>ROUND((G6+H6)*NPV!C4,0)</f>
        <v>0</v>
      </c>
      <c r="J6" s="299"/>
      <c r="K6" s="299"/>
      <c r="L6" s="299"/>
      <c r="M6" s="299"/>
      <c r="N6" s="299"/>
      <c r="O6" s="299"/>
      <c r="P6" s="299"/>
      <c r="Q6" s="299"/>
      <c r="R6" s="299"/>
      <c r="S6" s="299"/>
      <c r="T6" s="299"/>
      <c r="U6" s="299"/>
      <c r="V6" s="299"/>
      <c r="W6" s="299"/>
      <c r="X6" s="299"/>
      <c r="Y6" s="299"/>
      <c r="Z6" s="299"/>
    </row>
    <row r="7" spans="1:26">
      <c r="A7" s="308"/>
      <c r="B7" s="299"/>
      <c r="C7" s="299"/>
      <c r="D7" s="299"/>
      <c r="E7" s="19">
        <f t="shared" ref="E7:E39" si="1">E6+1</f>
        <v>2030</v>
      </c>
      <c r="F7" s="24"/>
      <c r="G7" s="351">
        <f t="shared" si="0"/>
        <v>0</v>
      </c>
      <c r="H7" s="352">
        <f>Maintenance!F7</f>
        <v>0</v>
      </c>
      <c r="I7" s="353">
        <f>ROUND((G7+H7)*NPV!C5,0)</f>
        <v>0</v>
      </c>
      <c r="J7" s="299"/>
      <c r="K7" s="299"/>
      <c r="L7" s="299"/>
      <c r="M7" s="299"/>
      <c r="N7" s="299"/>
      <c r="O7" s="299"/>
      <c r="P7" s="299"/>
      <c r="Q7" s="299"/>
      <c r="R7" s="299"/>
      <c r="S7" s="299"/>
      <c r="T7" s="299"/>
      <c r="U7" s="299"/>
      <c r="V7" s="299"/>
      <c r="W7" s="299"/>
      <c r="X7" s="299"/>
      <c r="Y7" s="299"/>
      <c r="Z7" s="299"/>
    </row>
    <row r="8" spans="1:26">
      <c r="A8" s="308"/>
      <c r="B8" s="299"/>
      <c r="C8" s="299"/>
      <c r="D8" s="299"/>
      <c r="E8" s="19">
        <f t="shared" si="1"/>
        <v>2031</v>
      </c>
      <c r="F8" s="556">
        <v>0.2</v>
      </c>
      <c r="G8" s="351">
        <f t="shared" si="0"/>
        <v>7980000</v>
      </c>
      <c r="H8" s="352">
        <f>Maintenance!F8</f>
        <v>0</v>
      </c>
      <c r="I8" s="353">
        <f>ROUND((G8+H8)*NPV!C6,0)</f>
        <v>7281601</v>
      </c>
      <c r="J8" s="299"/>
      <c r="K8" s="299"/>
      <c r="L8" s="299"/>
      <c r="M8" s="299"/>
      <c r="N8" s="299"/>
      <c r="O8" s="299"/>
      <c r="P8" s="299"/>
      <c r="Q8" s="299"/>
      <c r="R8" s="299"/>
      <c r="S8" s="299"/>
      <c r="T8" s="299"/>
      <c r="U8" s="299"/>
      <c r="V8" s="299"/>
      <c r="W8" s="299"/>
      <c r="X8" s="299"/>
      <c r="Y8" s="299"/>
      <c r="Z8" s="299"/>
    </row>
    <row r="9" spans="1:26">
      <c r="A9" s="308"/>
      <c r="B9" s="299"/>
      <c r="C9" s="299"/>
      <c r="D9" s="299"/>
      <c r="E9" s="19">
        <f t="shared" si="1"/>
        <v>2032</v>
      </c>
      <c r="F9" s="556">
        <v>0.5</v>
      </c>
      <c r="G9" s="351">
        <f>F9*$C$3</f>
        <v>19950000</v>
      </c>
      <c r="H9" s="352">
        <f>Maintenance!F9</f>
        <v>0</v>
      </c>
      <c r="I9" s="353">
        <f>ROUND((G9+H9)*NPV!C7,0)</f>
        <v>17656647</v>
      </c>
      <c r="J9" s="299"/>
      <c r="K9" s="299"/>
      <c r="L9" s="299"/>
      <c r="M9" s="299"/>
      <c r="N9" s="299"/>
      <c r="O9" s="299"/>
      <c r="P9" s="299"/>
      <c r="Q9" s="299"/>
      <c r="R9" s="299"/>
      <c r="S9" s="299"/>
      <c r="T9" s="299"/>
      <c r="U9" s="299"/>
      <c r="V9" s="299"/>
      <c r="W9" s="299"/>
      <c r="X9" s="299"/>
      <c r="Y9" s="299"/>
      <c r="Z9" s="299"/>
    </row>
    <row r="10" spans="1:26">
      <c r="A10" s="308"/>
      <c r="B10" s="299"/>
      <c r="C10" s="299"/>
      <c r="D10" s="299"/>
      <c r="E10" s="19">
        <f t="shared" si="1"/>
        <v>2033</v>
      </c>
      <c r="F10" s="556">
        <v>0.3</v>
      </c>
      <c r="G10" s="351">
        <f>F10*$C$3</f>
        <v>11970000</v>
      </c>
      <c r="H10" s="352">
        <f>Maintenance!F6</f>
        <v>0</v>
      </c>
      <c r="I10" s="353">
        <f>ROUND((G10+H10)*NPV!C8,0)</f>
        <v>10275449</v>
      </c>
      <c r="J10" s="299"/>
      <c r="K10" s="299"/>
      <c r="L10" s="299"/>
      <c r="M10" s="299"/>
      <c r="N10" s="299"/>
      <c r="O10" s="299"/>
      <c r="P10" s="299"/>
      <c r="Q10" s="299"/>
      <c r="R10" s="299"/>
      <c r="S10" s="299"/>
      <c r="T10" s="299"/>
      <c r="U10" s="299"/>
      <c r="V10" s="299"/>
      <c r="W10" s="299"/>
      <c r="X10" s="299"/>
      <c r="Y10" s="299"/>
      <c r="Z10" s="299"/>
    </row>
    <row r="11" spans="1:26">
      <c r="A11" s="308"/>
      <c r="B11" s="299"/>
      <c r="C11" s="299"/>
      <c r="D11" s="299"/>
      <c r="E11" s="19">
        <f t="shared" si="1"/>
        <v>2034</v>
      </c>
      <c r="F11" s="24"/>
      <c r="G11" s="351">
        <f t="shared" si="0"/>
        <v>0</v>
      </c>
      <c r="H11" s="352">
        <f>Maintenance!F7</f>
        <v>0</v>
      </c>
      <c r="I11" s="353">
        <f>ROUND((G11+H11)*NPV!C9,0)</f>
        <v>0</v>
      </c>
      <c r="J11" s="299"/>
      <c r="K11" s="299"/>
      <c r="L11" s="299"/>
      <c r="M11" s="299"/>
      <c r="N11" s="299"/>
      <c r="O11" s="299"/>
      <c r="P11" s="299"/>
      <c r="Q11" s="299"/>
      <c r="R11" s="299"/>
      <c r="S11" s="299"/>
      <c r="T11" s="299"/>
      <c r="U11" s="299"/>
      <c r="V11" s="299"/>
      <c r="W11" s="299"/>
      <c r="X11" s="299"/>
      <c r="Y11" s="299"/>
      <c r="Z11" s="299"/>
    </row>
    <row r="12" spans="1:26">
      <c r="A12" s="299"/>
      <c r="B12" s="299"/>
      <c r="C12" s="299"/>
      <c r="D12" s="299"/>
      <c r="E12" s="19">
        <f t="shared" si="1"/>
        <v>2035</v>
      </c>
      <c r="F12" s="24"/>
      <c r="G12" s="351">
        <f t="shared" si="0"/>
        <v>0</v>
      </c>
      <c r="H12" s="352">
        <f>Maintenance!F8</f>
        <v>0</v>
      </c>
      <c r="I12" s="353">
        <f>ROUND((G12+H12)*NPV!C10,0)</f>
        <v>0</v>
      </c>
      <c r="J12" s="299"/>
      <c r="K12" s="299"/>
      <c r="L12" s="299"/>
      <c r="M12" s="299"/>
      <c r="N12" s="299"/>
      <c r="O12" s="299"/>
      <c r="P12" s="299"/>
      <c r="Q12" s="299"/>
      <c r="R12" s="299"/>
      <c r="S12" s="299"/>
      <c r="T12" s="299"/>
      <c r="U12" s="299"/>
      <c r="V12" s="299"/>
      <c r="W12" s="299"/>
      <c r="X12" s="299"/>
      <c r="Y12" s="299"/>
      <c r="Z12" s="299"/>
    </row>
    <row r="13" spans="1:26">
      <c r="A13" s="299"/>
      <c r="B13" s="299"/>
      <c r="C13" s="299"/>
      <c r="D13" s="299"/>
      <c r="E13" s="19">
        <f t="shared" si="1"/>
        <v>2036</v>
      </c>
      <c r="F13" s="24"/>
      <c r="G13" s="351">
        <f t="shared" si="0"/>
        <v>0</v>
      </c>
      <c r="H13" s="352">
        <f>Maintenance!F9</f>
        <v>0</v>
      </c>
      <c r="I13" s="353">
        <f>ROUND((G13+H13)*NPV!C11,0)</f>
        <v>0</v>
      </c>
      <c r="J13" s="299"/>
      <c r="K13" s="299"/>
      <c r="L13" s="299"/>
      <c r="M13" s="299"/>
      <c r="N13" s="299"/>
      <c r="O13" s="299"/>
      <c r="P13" s="299"/>
      <c r="Q13" s="299"/>
      <c r="R13" s="299"/>
      <c r="S13" s="299"/>
      <c r="T13" s="299"/>
      <c r="U13" s="299"/>
      <c r="V13" s="299"/>
      <c r="W13" s="299"/>
      <c r="X13" s="299"/>
      <c r="Y13" s="299"/>
      <c r="Z13" s="299"/>
    </row>
    <row r="14" spans="1:26">
      <c r="A14" s="299"/>
      <c r="B14" s="299"/>
      <c r="C14" s="299"/>
      <c r="D14" s="299"/>
      <c r="E14" s="19">
        <f t="shared" si="1"/>
        <v>2037</v>
      </c>
      <c r="F14" s="25"/>
      <c r="G14" s="351">
        <f t="shared" si="0"/>
        <v>0</v>
      </c>
      <c r="H14" s="352">
        <f>Maintenance!F10</f>
        <v>0</v>
      </c>
      <c r="I14" s="353">
        <f>ROUND((G14+H14)*NPV!C12,0)</f>
        <v>0</v>
      </c>
      <c r="J14" s="299"/>
      <c r="K14" s="299"/>
      <c r="L14" s="299"/>
      <c r="M14" s="299"/>
      <c r="N14" s="299"/>
      <c r="O14" s="299"/>
      <c r="P14" s="299"/>
      <c r="Q14" s="299"/>
      <c r="R14" s="299"/>
      <c r="S14" s="299"/>
      <c r="T14" s="299"/>
      <c r="U14" s="299"/>
      <c r="V14" s="299"/>
      <c r="W14" s="299"/>
      <c r="X14" s="299"/>
      <c r="Y14" s="299"/>
      <c r="Z14" s="299"/>
    </row>
    <row r="15" spans="1:26">
      <c r="A15" s="299"/>
      <c r="B15" s="299"/>
      <c r="C15" s="299"/>
      <c r="D15" s="299"/>
      <c r="E15" s="19">
        <f t="shared" si="1"/>
        <v>2038</v>
      </c>
      <c r="F15" s="25"/>
      <c r="G15" s="351">
        <f t="shared" si="0"/>
        <v>0</v>
      </c>
      <c r="H15" s="352">
        <f>Maintenance!F11</f>
        <v>89400</v>
      </c>
      <c r="I15" s="353">
        <f>ROUND((G15+H15)*NPV!C13,0)</f>
        <v>65880</v>
      </c>
      <c r="J15" s="299"/>
      <c r="K15" s="299"/>
      <c r="L15" s="299"/>
      <c r="M15" s="299"/>
      <c r="N15" s="299"/>
      <c r="O15" s="299"/>
      <c r="P15" s="299"/>
      <c r="Q15" s="299"/>
      <c r="R15" s="299"/>
      <c r="S15" s="299"/>
      <c r="T15" s="299"/>
      <c r="U15" s="299"/>
      <c r="V15" s="299"/>
      <c r="W15" s="299"/>
      <c r="X15" s="299"/>
      <c r="Y15" s="299"/>
      <c r="Z15" s="299"/>
    </row>
    <row r="16" spans="1:26">
      <c r="A16" s="299"/>
      <c r="B16" s="299"/>
      <c r="C16" s="299"/>
      <c r="D16" s="299"/>
      <c r="E16" s="19">
        <f t="shared" si="1"/>
        <v>2039</v>
      </c>
      <c r="F16" s="25"/>
      <c r="G16" s="351">
        <f t="shared" si="0"/>
        <v>0</v>
      </c>
      <c r="H16" s="352">
        <f>Maintenance!F12</f>
        <v>89400</v>
      </c>
      <c r="I16" s="353">
        <f>ROUND((G16+H16)*NPV!C14,0)</f>
        <v>63899</v>
      </c>
      <c r="J16" s="299"/>
      <c r="K16" s="299"/>
      <c r="L16" s="299"/>
      <c r="M16" s="299"/>
      <c r="N16" s="299"/>
      <c r="O16" s="299"/>
      <c r="P16" s="299"/>
      <c r="Q16" s="299"/>
      <c r="R16" s="299"/>
      <c r="S16" s="299"/>
      <c r="T16" s="299"/>
      <c r="U16" s="299"/>
      <c r="V16" s="299"/>
      <c r="W16" s="299"/>
      <c r="X16" s="299"/>
      <c r="Y16" s="299"/>
      <c r="Z16" s="299"/>
    </row>
    <row r="17" spans="1:26">
      <c r="A17" s="299"/>
      <c r="B17" s="299"/>
      <c r="C17" s="299"/>
      <c r="D17" s="299"/>
      <c r="E17" s="19">
        <f t="shared" si="1"/>
        <v>2040</v>
      </c>
      <c r="F17" s="25"/>
      <c r="G17" s="351">
        <f t="shared" si="0"/>
        <v>0</v>
      </c>
      <c r="H17" s="352">
        <f>Maintenance!F13</f>
        <v>-610600</v>
      </c>
      <c r="I17" s="353">
        <f>ROUND((G17+H17)*NPV!C15,0)</f>
        <v>-423304</v>
      </c>
      <c r="J17" s="299"/>
      <c r="K17" s="299"/>
      <c r="L17" s="299"/>
      <c r="M17" s="299"/>
      <c r="N17" s="299"/>
      <c r="O17" s="299"/>
      <c r="P17" s="299"/>
      <c r="Q17" s="299"/>
      <c r="R17" s="299"/>
      <c r="S17" s="299"/>
      <c r="T17" s="299"/>
      <c r="U17" s="299"/>
      <c r="V17" s="299"/>
      <c r="W17" s="299"/>
      <c r="X17" s="299"/>
      <c r="Y17" s="299"/>
      <c r="Z17" s="299"/>
    </row>
    <row r="18" spans="1:26">
      <c r="A18" s="299"/>
      <c r="B18" s="299"/>
      <c r="C18" s="299"/>
      <c r="D18" s="299"/>
      <c r="E18" s="19">
        <f t="shared" si="1"/>
        <v>2041</v>
      </c>
      <c r="F18" s="25"/>
      <c r="G18" s="351">
        <f t="shared" si="0"/>
        <v>0</v>
      </c>
      <c r="H18" s="352">
        <f>Maintenance!F14</f>
        <v>-290600</v>
      </c>
      <c r="I18" s="353">
        <f>ROUND((G18+H18)*NPV!C16,0)</f>
        <v>-195404</v>
      </c>
      <c r="J18" s="299"/>
      <c r="K18" s="299"/>
      <c r="L18" s="299"/>
      <c r="M18" s="299"/>
      <c r="N18" s="299"/>
      <c r="O18" s="299"/>
      <c r="P18" s="299"/>
      <c r="Q18" s="299"/>
      <c r="R18" s="299"/>
      <c r="S18" s="299"/>
      <c r="T18" s="299"/>
      <c r="U18" s="299"/>
      <c r="V18" s="299"/>
      <c r="W18" s="299"/>
      <c r="X18" s="299"/>
      <c r="Y18" s="299"/>
      <c r="Z18" s="299"/>
    </row>
    <row r="19" spans="1:26">
      <c r="A19" s="299"/>
      <c r="B19" s="299"/>
      <c r="C19" s="299"/>
      <c r="D19" s="299"/>
      <c r="E19" s="19">
        <f t="shared" si="1"/>
        <v>2042</v>
      </c>
      <c r="F19" s="25"/>
      <c r="G19" s="351">
        <f t="shared" si="0"/>
        <v>0</v>
      </c>
      <c r="H19" s="352">
        <f>Maintenance!F15</f>
        <v>-610600</v>
      </c>
      <c r="I19" s="353">
        <f>ROUND((G19+H19)*NPV!C17,0)</f>
        <v>-398231</v>
      </c>
      <c r="J19" s="299"/>
      <c r="K19" s="299"/>
      <c r="L19" s="299"/>
      <c r="M19" s="299"/>
      <c r="N19" s="299"/>
      <c r="O19" s="299"/>
      <c r="P19" s="299"/>
      <c r="Q19" s="299"/>
      <c r="R19" s="299"/>
      <c r="S19" s="299"/>
      <c r="T19" s="299"/>
      <c r="U19" s="299"/>
      <c r="V19" s="299"/>
      <c r="W19" s="299"/>
      <c r="X19" s="299"/>
      <c r="Y19" s="299"/>
      <c r="Z19" s="299"/>
    </row>
    <row r="20" spans="1:26">
      <c r="A20" s="299"/>
      <c r="B20" s="299"/>
      <c r="C20" s="299"/>
      <c r="D20" s="299"/>
      <c r="E20" s="19">
        <f t="shared" si="1"/>
        <v>2043</v>
      </c>
      <c r="F20" s="25"/>
      <c r="G20" s="351">
        <f t="shared" ref="G20:G30" si="2">F20*$C$3</f>
        <v>0</v>
      </c>
      <c r="H20" s="352">
        <f>Maintenance!F16</f>
        <v>89400</v>
      </c>
      <c r="I20" s="353">
        <f>ROUND((G20+H20)*NPV!C18,0)</f>
        <v>56553</v>
      </c>
      <c r="J20" s="299"/>
      <c r="K20" s="299"/>
      <c r="L20" s="299"/>
      <c r="M20" s="299"/>
      <c r="N20" s="299"/>
      <c r="O20" s="299"/>
      <c r="P20" s="299"/>
      <c r="Q20" s="299"/>
      <c r="R20" s="299"/>
      <c r="S20" s="299"/>
      <c r="T20" s="299"/>
      <c r="U20" s="299"/>
      <c r="V20" s="299"/>
      <c r="W20" s="299"/>
      <c r="X20" s="299"/>
      <c r="Y20" s="299"/>
      <c r="Z20" s="299"/>
    </row>
    <row r="21" spans="1:26">
      <c r="A21" s="299"/>
      <c r="B21" s="299"/>
      <c r="C21" s="299"/>
      <c r="D21" s="299"/>
      <c r="E21" s="19">
        <f t="shared" si="1"/>
        <v>2044</v>
      </c>
      <c r="F21" s="25"/>
      <c r="G21" s="351">
        <f t="shared" si="2"/>
        <v>0</v>
      </c>
      <c r="H21" s="352">
        <f>Maintenance!F17</f>
        <v>-230600</v>
      </c>
      <c r="I21" s="353">
        <f>ROUND((G21+H21)*NPV!C19,0)</f>
        <v>-141488</v>
      </c>
      <c r="J21" s="299"/>
      <c r="K21" s="299"/>
      <c r="L21" s="299"/>
      <c r="M21" s="299"/>
      <c r="N21" s="299"/>
      <c r="O21" s="299"/>
      <c r="P21" s="299"/>
      <c r="Q21" s="299"/>
      <c r="R21" s="299"/>
      <c r="S21" s="299"/>
      <c r="T21" s="299"/>
      <c r="U21" s="299"/>
      <c r="V21" s="299"/>
      <c r="W21" s="299"/>
      <c r="X21" s="299"/>
      <c r="Y21" s="299"/>
      <c r="Z21" s="299"/>
    </row>
    <row r="22" spans="1:26">
      <c r="A22" s="299"/>
      <c r="B22" s="299"/>
      <c r="C22" s="299"/>
      <c r="D22" s="299"/>
      <c r="E22" s="19">
        <f t="shared" si="1"/>
        <v>2045</v>
      </c>
      <c r="F22" s="25"/>
      <c r="G22" s="351">
        <f t="shared" si="2"/>
        <v>0</v>
      </c>
      <c r="H22" s="352">
        <f>Maintenance!F18</f>
        <v>89400</v>
      </c>
      <c r="I22" s="353">
        <f>ROUND((G22+H22)*NPV!C20,0)</f>
        <v>53204</v>
      </c>
      <c r="J22" s="299"/>
      <c r="K22" s="299"/>
      <c r="L22" s="299"/>
      <c r="M22" s="299"/>
      <c r="N22" s="299"/>
      <c r="O22" s="299"/>
      <c r="P22" s="299"/>
      <c r="Q22" s="299"/>
      <c r="R22" s="299"/>
      <c r="S22" s="299"/>
      <c r="T22" s="299"/>
      <c r="U22" s="299"/>
      <c r="V22" s="299"/>
      <c r="W22" s="299"/>
      <c r="X22" s="299"/>
      <c r="Y22" s="299"/>
      <c r="Z22" s="299"/>
    </row>
    <row r="23" spans="1:26">
      <c r="A23" s="299"/>
      <c r="B23" s="299"/>
      <c r="C23" s="299"/>
      <c r="D23" s="299"/>
      <c r="E23" s="19">
        <f t="shared" si="1"/>
        <v>2046</v>
      </c>
      <c r="F23" s="25"/>
      <c r="G23" s="351">
        <f t="shared" si="2"/>
        <v>0</v>
      </c>
      <c r="H23" s="352">
        <f>Maintenance!F19</f>
        <v>89400</v>
      </c>
      <c r="I23" s="353">
        <f>ROUND((G23+H23)*NPV!C21,0)</f>
        <v>51604</v>
      </c>
      <c r="J23" s="299"/>
      <c r="K23" s="299"/>
      <c r="L23" s="299"/>
      <c r="M23" s="299"/>
      <c r="N23" s="299"/>
      <c r="O23" s="299"/>
      <c r="P23" s="299"/>
      <c r="Q23" s="299"/>
      <c r="R23" s="299"/>
      <c r="S23" s="299"/>
      <c r="T23" s="299"/>
      <c r="U23" s="299"/>
      <c r="V23" s="299"/>
      <c r="W23" s="299"/>
      <c r="X23" s="299"/>
      <c r="Y23" s="299"/>
      <c r="Z23" s="299"/>
    </row>
    <row r="24" spans="1:26">
      <c r="A24" s="299"/>
      <c r="B24" s="299"/>
      <c r="C24" s="299"/>
      <c r="D24" s="299"/>
      <c r="E24" s="19">
        <f t="shared" si="1"/>
        <v>2047</v>
      </c>
      <c r="F24" s="25"/>
      <c r="G24" s="351">
        <f t="shared" si="2"/>
        <v>0</v>
      </c>
      <c r="H24" s="352">
        <f>Maintenance!F20</f>
        <v>-1616600</v>
      </c>
      <c r="I24" s="353">
        <f>ROUND((G24+H24)*NPV!C22,0)</f>
        <v>-905082</v>
      </c>
      <c r="J24" s="299"/>
      <c r="K24" s="299"/>
      <c r="L24" s="299"/>
      <c r="M24" s="299"/>
      <c r="N24" s="299"/>
      <c r="O24" s="299"/>
      <c r="P24" s="299"/>
      <c r="Q24" s="299"/>
      <c r="R24" s="299"/>
      <c r="S24" s="299"/>
      <c r="T24" s="299"/>
      <c r="U24" s="299"/>
      <c r="V24" s="299"/>
      <c r="W24" s="299"/>
      <c r="X24" s="299"/>
      <c r="Y24" s="299"/>
      <c r="Z24" s="299"/>
    </row>
    <row r="25" spans="1:26">
      <c r="A25" s="299"/>
      <c r="B25" s="299"/>
      <c r="C25" s="299"/>
      <c r="D25" s="299"/>
      <c r="E25" s="19">
        <f t="shared" si="1"/>
        <v>2048</v>
      </c>
      <c r="F25" s="25"/>
      <c r="G25" s="351">
        <f t="shared" si="2"/>
        <v>0</v>
      </c>
      <c r="H25" s="352">
        <f>Maintenance!F21</f>
        <v>4023400</v>
      </c>
      <c r="I25" s="353">
        <f>ROUND((G25+H25)*NPV!C23,0)</f>
        <v>2184841</v>
      </c>
      <c r="J25" s="299"/>
      <c r="K25" s="299"/>
      <c r="L25" s="299"/>
      <c r="M25" s="299"/>
      <c r="N25" s="299"/>
      <c r="O25" s="299"/>
      <c r="P25" s="299"/>
      <c r="Q25" s="299"/>
      <c r="R25" s="299"/>
      <c r="S25" s="299"/>
      <c r="T25" s="299"/>
      <c r="U25" s="299"/>
      <c r="V25" s="299"/>
      <c r="W25" s="299"/>
      <c r="X25" s="299"/>
      <c r="Y25" s="299"/>
      <c r="Z25" s="299"/>
    </row>
    <row r="26" spans="1:26">
      <c r="A26" s="299"/>
      <c r="B26" s="299"/>
      <c r="C26" s="299"/>
      <c r="D26" s="299"/>
      <c r="E26" s="19">
        <f t="shared" si="1"/>
        <v>2049</v>
      </c>
      <c r="F26" s="25"/>
      <c r="G26" s="351">
        <f t="shared" si="2"/>
        <v>0</v>
      </c>
      <c r="H26" s="352">
        <f>Maintenance!F22</f>
        <v>-1616600</v>
      </c>
      <c r="I26" s="353">
        <f>ROUND((G26+H26)*NPV!C24,0)</f>
        <v>-851472</v>
      </c>
      <c r="J26" s="299"/>
      <c r="K26" s="299"/>
      <c r="L26" s="299"/>
      <c r="M26" s="299"/>
      <c r="N26" s="299"/>
      <c r="O26" s="299"/>
      <c r="P26" s="299"/>
      <c r="Q26" s="299"/>
      <c r="R26" s="299"/>
      <c r="S26" s="299"/>
      <c r="T26" s="299"/>
      <c r="U26" s="299"/>
      <c r="V26" s="299"/>
      <c r="W26" s="299"/>
      <c r="X26" s="299"/>
      <c r="Y26" s="299"/>
      <c r="Z26" s="299"/>
    </row>
    <row r="27" spans="1:26">
      <c r="A27" s="299"/>
      <c r="B27" s="299"/>
      <c r="C27" s="299"/>
      <c r="D27" s="299"/>
      <c r="E27" s="19">
        <f t="shared" si="1"/>
        <v>2050</v>
      </c>
      <c r="F27" s="25"/>
      <c r="G27" s="351">
        <f t="shared" si="2"/>
        <v>0</v>
      </c>
      <c r="H27" s="352">
        <f>Maintenance!F23</f>
        <v>89400</v>
      </c>
      <c r="I27" s="353">
        <f>ROUND((G27+H27)*NPV!C25,0)</f>
        <v>45672</v>
      </c>
      <c r="J27" s="299"/>
      <c r="K27" s="299"/>
      <c r="L27" s="299"/>
      <c r="M27" s="299"/>
      <c r="N27" s="299"/>
      <c r="O27" s="299"/>
      <c r="P27" s="299"/>
      <c r="Q27" s="299"/>
      <c r="R27" s="299"/>
      <c r="S27" s="299"/>
      <c r="T27" s="299"/>
      <c r="U27" s="299"/>
      <c r="V27" s="299"/>
      <c r="W27" s="299"/>
      <c r="X27" s="299"/>
      <c r="Y27" s="299"/>
      <c r="Z27" s="299"/>
    </row>
    <row r="28" spans="1:26">
      <c r="A28" s="299"/>
      <c r="B28" s="299"/>
      <c r="C28" s="299"/>
      <c r="D28" s="299"/>
      <c r="E28" s="19">
        <f t="shared" si="1"/>
        <v>2051</v>
      </c>
      <c r="F28" s="25"/>
      <c r="G28" s="351">
        <f t="shared" si="2"/>
        <v>0</v>
      </c>
      <c r="H28" s="352">
        <f>Maintenance!F24</f>
        <v>-550600</v>
      </c>
      <c r="I28" s="353">
        <f>ROUND((G28+H28)*NPV!C26,0)</f>
        <v>-272827</v>
      </c>
      <c r="J28" s="299"/>
      <c r="K28" s="299"/>
      <c r="L28" s="299"/>
      <c r="M28" s="299"/>
      <c r="N28" s="299"/>
      <c r="O28" s="299"/>
      <c r="P28" s="299"/>
      <c r="Q28" s="299"/>
      <c r="R28" s="299"/>
      <c r="S28" s="299"/>
      <c r="T28" s="299"/>
      <c r="U28" s="299"/>
      <c r="V28" s="299"/>
      <c r="W28" s="299"/>
      <c r="X28" s="299"/>
      <c r="Y28" s="299"/>
      <c r="Z28" s="299"/>
    </row>
    <row r="29" spans="1:26">
      <c r="A29" s="299"/>
      <c r="B29" s="299"/>
      <c r="C29" s="299"/>
      <c r="D29" s="299"/>
      <c r="E29" s="19">
        <f t="shared" si="1"/>
        <v>2052</v>
      </c>
      <c r="F29" s="25"/>
      <c r="G29" s="351">
        <f t="shared" si="2"/>
        <v>0</v>
      </c>
      <c r="H29" s="352">
        <f>Maintenance!F25</f>
        <v>89400</v>
      </c>
      <c r="I29" s="353">
        <f>ROUND((G29+H29)*NPV!C27,0)</f>
        <v>42966</v>
      </c>
      <c r="J29" s="299"/>
      <c r="K29" s="299"/>
      <c r="L29" s="299"/>
      <c r="M29" s="299"/>
      <c r="N29" s="299"/>
      <c r="O29" s="299"/>
      <c r="P29" s="299"/>
      <c r="Q29" s="299"/>
      <c r="R29" s="299"/>
      <c r="S29" s="299"/>
      <c r="T29" s="299"/>
      <c r="U29" s="299"/>
      <c r="V29" s="299"/>
      <c r="W29" s="299"/>
      <c r="X29" s="299"/>
      <c r="Y29" s="299"/>
      <c r="Z29" s="299"/>
    </row>
    <row r="30" spans="1:26">
      <c r="A30" s="299"/>
      <c r="B30" s="299"/>
      <c r="C30" s="299"/>
      <c r="D30" s="299"/>
      <c r="E30" s="19">
        <f t="shared" si="1"/>
        <v>2053</v>
      </c>
      <c r="F30" s="25"/>
      <c r="G30" s="351">
        <f t="shared" si="2"/>
        <v>0</v>
      </c>
      <c r="H30" s="352">
        <f>Maintenance!F26</f>
        <v>89400</v>
      </c>
      <c r="I30" s="353">
        <f>ROUND((G30+H30)*NPV!C28,0)</f>
        <v>41675</v>
      </c>
      <c r="J30" s="299"/>
      <c r="K30" s="299"/>
      <c r="L30" s="299"/>
      <c r="M30" s="299"/>
      <c r="N30" s="299"/>
      <c r="O30" s="299"/>
      <c r="P30" s="299"/>
      <c r="Q30" s="299"/>
      <c r="R30" s="299"/>
      <c r="S30" s="299"/>
      <c r="T30" s="299"/>
      <c r="U30" s="299"/>
      <c r="V30" s="299"/>
      <c r="W30" s="299"/>
      <c r="X30" s="299"/>
      <c r="Y30" s="299"/>
      <c r="Z30" s="299"/>
    </row>
    <row r="31" spans="1:26">
      <c r="A31" s="299"/>
      <c r="B31" s="299"/>
      <c r="C31" s="299"/>
      <c r="D31" s="299"/>
      <c r="E31" s="19">
        <f t="shared" si="1"/>
        <v>2054</v>
      </c>
      <c r="F31" s="25"/>
      <c r="G31" s="351">
        <f t="shared" si="0"/>
        <v>0</v>
      </c>
      <c r="H31" s="352">
        <f>Maintenance!F27</f>
        <v>-610600</v>
      </c>
      <c r="I31" s="353">
        <f>ROUND((G31+H31)*NPV!C29,0)</f>
        <v>-276078</v>
      </c>
      <c r="J31" s="299"/>
      <c r="K31" s="299"/>
      <c r="L31" s="299"/>
      <c r="M31" s="299"/>
      <c r="N31" s="299"/>
      <c r="O31" s="299"/>
      <c r="P31" s="299"/>
      <c r="Q31" s="299"/>
      <c r="R31" s="299"/>
      <c r="S31" s="299"/>
      <c r="T31" s="299"/>
      <c r="U31" s="299"/>
      <c r="V31" s="299"/>
      <c r="W31" s="299"/>
      <c r="X31" s="299"/>
      <c r="Y31" s="299"/>
      <c r="Z31" s="299"/>
    </row>
    <row r="32" spans="1:26">
      <c r="A32" s="299"/>
      <c r="B32" s="299"/>
      <c r="C32" s="299"/>
      <c r="D32" s="299"/>
      <c r="E32" s="19">
        <f t="shared" si="1"/>
        <v>2055</v>
      </c>
      <c r="F32" s="25"/>
      <c r="G32" s="351">
        <f t="shared" si="0"/>
        <v>0</v>
      </c>
      <c r="H32" s="352">
        <f>Maintenance!F28</f>
        <v>-290600</v>
      </c>
      <c r="I32" s="353">
        <f>ROUND((G32+H32)*NPV!C30,0)</f>
        <v>-127442</v>
      </c>
      <c r="J32" s="299"/>
      <c r="K32" s="299"/>
      <c r="L32" s="299"/>
      <c r="M32" s="299"/>
      <c r="N32" s="299"/>
      <c r="O32" s="299"/>
      <c r="P32" s="299"/>
      <c r="Q32" s="299"/>
      <c r="R32" s="299"/>
      <c r="S32" s="299"/>
      <c r="T32" s="299"/>
      <c r="U32" s="299"/>
      <c r="V32" s="299"/>
      <c r="W32" s="299"/>
      <c r="X32" s="299"/>
      <c r="Y32" s="299"/>
      <c r="Z32" s="299"/>
    </row>
    <row r="33" spans="1:26">
      <c r="A33" s="299"/>
      <c r="B33" s="299"/>
      <c r="C33" s="299"/>
      <c r="D33" s="299"/>
      <c r="E33" s="19">
        <f t="shared" si="1"/>
        <v>2056</v>
      </c>
      <c r="F33" s="25"/>
      <c r="G33" s="351">
        <f t="shared" si="0"/>
        <v>0</v>
      </c>
      <c r="H33" s="352">
        <f>Maintenance!F29</f>
        <v>-610600</v>
      </c>
      <c r="I33" s="353">
        <f>ROUND((G33+H33)*NPV!C31,0)</f>
        <v>-259725</v>
      </c>
      <c r="J33" s="299"/>
      <c r="K33" s="299"/>
      <c r="L33" s="299"/>
      <c r="M33" s="299"/>
      <c r="N33" s="299"/>
      <c r="O33" s="299"/>
      <c r="P33" s="299"/>
      <c r="Q33" s="299"/>
      <c r="R33" s="299"/>
      <c r="S33" s="299"/>
      <c r="T33" s="299"/>
      <c r="U33" s="299"/>
      <c r="V33" s="299"/>
      <c r="W33" s="299"/>
      <c r="X33" s="299"/>
      <c r="Y33" s="299"/>
      <c r="Z33" s="299"/>
    </row>
    <row r="34" spans="1:26">
      <c r="A34" s="299"/>
      <c r="B34" s="299"/>
      <c r="C34" s="299"/>
      <c r="D34" s="299"/>
      <c r="E34" s="19">
        <f t="shared" si="1"/>
        <v>2057</v>
      </c>
      <c r="F34" s="25"/>
      <c r="G34" s="351">
        <f t="shared" si="0"/>
        <v>0</v>
      </c>
      <c r="H34" s="352">
        <f>Maintenance!F30</f>
        <v>89400</v>
      </c>
      <c r="I34" s="353">
        <f>ROUND((G34+H34)*NPV!C32,0)</f>
        <v>36884</v>
      </c>
      <c r="J34" s="299"/>
      <c r="K34" s="299"/>
      <c r="L34" s="299"/>
      <c r="M34" s="299"/>
      <c r="N34" s="299"/>
      <c r="O34" s="299"/>
      <c r="P34" s="299"/>
      <c r="Q34" s="299"/>
      <c r="R34" s="299"/>
      <c r="S34" s="299"/>
      <c r="T34" s="299"/>
      <c r="U34" s="299"/>
      <c r="V34" s="299"/>
      <c r="W34" s="299"/>
      <c r="X34" s="299"/>
      <c r="Y34" s="299"/>
      <c r="Z34" s="299"/>
    </row>
    <row r="35" spans="1:26">
      <c r="A35" s="299"/>
      <c r="B35" s="299"/>
      <c r="C35" s="299"/>
      <c r="D35" s="299"/>
      <c r="E35" s="19">
        <f t="shared" si="1"/>
        <v>2058</v>
      </c>
      <c r="F35" s="25"/>
      <c r="G35" s="351">
        <f t="shared" si="0"/>
        <v>0</v>
      </c>
      <c r="H35" s="352">
        <f>Maintenance!F31</f>
        <v>9769400</v>
      </c>
      <c r="I35" s="353">
        <f>ROUND((G35+H35)*NPV!C33,0)</f>
        <v>3909380</v>
      </c>
      <c r="J35" s="299"/>
      <c r="K35" s="299"/>
      <c r="L35" s="299"/>
      <c r="M35" s="299"/>
      <c r="N35" s="299"/>
      <c r="O35" s="299"/>
      <c r="P35" s="299"/>
      <c r="Q35" s="299"/>
      <c r="R35" s="299"/>
      <c r="S35" s="299"/>
      <c r="T35" s="299"/>
      <c r="U35" s="299"/>
      <c r="V35" s="299"/>
      <c r="W35" s="299"/>
      <c r="X35" s="299"/>
      <c r="Y35" s="299"/>
      <c r="Z35" s="299"/>
    </row>
    <row r="36" spans="1:26">
      <c r="A36" s="299"/>
      <c r="B36" s="299"/>
      <c r="C36" s="299"/>
      <c r="D36" s="299"/>
      <c r="E36" s="19">
        <f t="shared" si="1"/>
        <v>2059</v>
      </c>
      <c r="F36" s="25"/>
      <c r="G36" s="351">
        <f t="shared" si="0"/>
        <v>0</v>
      </c>
      <c r="H36" s="352">
        <f>Maintenance!F32</f>
        <v>89400</v>
      </c>
      <c r="I36" s="353">
        <f>ROUND((G36+H36)*NPV!C34,0)</f>
        <v>34699</v>
      </c>
      <c r="J36" s="299"/>
      <c r="K36" s="299"/>
      <c r="L36" s="299"/>
      <c r="M36" s="299"/>
      <c r="N36" s="299"/>
      <c r="O36" s="299"/>
      <c r="P36" s="299"/>
      <c r="Q36" s="299"/>
      <c r="R36" s="299"/>
      <c r="S36" s="299"/>
      <c r="T36" s="299"/>
      <c r="U36" s="299"/>
      <c r="V36" s="299"/>
      <c r="W36" s="299"/>
      <c r="X36" s="299"/>
      <c r="Y36" s="299"/>
      <c r="Z36" s="299"/>
    </row>
    <row r="37" spans="1:26">
      <c r="A37" s="299"/>
      <c r="B37" s="299"/>
      <c r="C37" s="299"/>
      <c r="D37" s="299"/>
      <c r="E37" s="19">
        <f t="shared" si="1"/>
        <v>2060</v>
      </c>
      <c r="F37" s="25"/>
      <c r="G37" s="351">
        <f t="shared" ref="G37:G39" si="3">F37*$C$3</f>
        <v>0</v>
      </c>
      <c r="H37" s="352">
        <f>Maintenance!F33</f>
        <v>89400</v>
      </c>
      <c r="I37" s="353">
        <f>ROUND((G37+H37)*NPV!C35,0)</f>
        <v>33656</v>
      </c>
      <c r="J37" s="299"/>
      <c r="K37" s="299"/>
      <c r="L37" s="299"/>
      <c r="M37" s="299"/>
      <c r="N37" s="299"/>
      <c r="O37" s="299"/>
      <c r="P37" s="299"/>
      <c r="Q37" s="299"/>
      <c r="R37" s="299"/>
      <c r="S37" s="299"/>
      <c r="T37" s="299"/>
      <c r="U37" s="299"/>
      <c r="V37" s="299"/>
      <c r="W37" s="299"/>
      <c r="X37" s="299"/>
      <c r="Y37" s="299"/>
      <c r="Z37" s="299"/>
    </row>
    <row r="38" spans="1:26">
      <c r="A38" s="299"/>
      <c r="B38" s="299"/>
      <c r="C38" s="299"/>
      <c r="D38" s="299"/>
      <c r="E38" s="19">
        <f t="shared" si="1"/>
        <v>2061</v>
      </c>
      <c r="F38" s="25"/>
      <c r="G38" s="351">
        <f t="shared" si="3"/>
        <v>0</v>
      </c>
      <c r="H38" s="352">
        <f>Maintenance!F34</f>
        <v>-610600</v>
      </c>
      <c r="I38" s="353">
        <f>ROUND((G38+H38)*NPV!C36,0)</f>
        <v>-222957</v>
      </c>
      <c r="J38" s="299"/>
      <c r="K38" s="299"/>
      <c r="L38" s="299"/>
      <c r="M38" s="299"/>
      <c r="N38" s="299"/>
      <c r="O38" s="299"/>
      <c r="P38" s="299"/>
      <c r="Q38" s="299"/>
      <c r="R38" s="299"/>
      <c r="S38" s="299"/>
      <c r="T38" s="299"/>
      <c r="U38" s="299"/>
      <c r="V38" s="299"/>
      <c r="W38" s="299"/>
      <c r="X38" s="299"/>
      <c r="Y38" s="299"/>
      <c r="Z38" s="299"/>
    </row>
    <row r="39" spans="1:26">
      <c r="A39" s="299"/>
      <c r="B39" s="299"/>
      <c r="C39" s="299"/>
      <c r="D39" s="299"/>
      <c r="E39" s="19">
        <f t="shared" si="1"/>
        <v>2062</v>
      </c>
      <c r="F39" s="25"/>
      <c r="G39" s="351">
        <f t="shared" si="3"/>
        <v>0</v>
      </c>
      <c r="H39" s="352">
        <f>Maintenance!F35</f>
        <v>-290600</v>
      </c>
      <c r="I39" s="353">
        <f>ROUND((G39+H39)*NPV!C37,0)</f>
        <v>-102920</v>
      </c>
      <c r="J39" s="299"/>
      <c r="K39" s="299"/>
      <c r="L39" s="299"/>
      <c r="M39" s="299"/>
      <c r="N39" s="299"/>
      <c r="O39" s="299"/>
      <c r="P39" s="299"/>
      <c r="Q39" s="299"/>
      <c r="R39" s="299"/>
      <c r="S39" s="299"/>
      <c r="T39" s="299"/>
      <c r="U39" s="299"/>
      <c r="V39" s="299"/>
      <c r="W39" s="299"/>
      <c r="X39" s="299"/>
      <c r="Y39" s="299"/>
      <c r="Z39" s="299"/>
    </row>
    <row r="40" spans="1:26" ht="13.5" thickBot="1">
      <c r="A40" s="299"/>
      <c r="B40" s="299"/>
      <c r="C40" s="299"/>
      <c r="D40" s="299"/>
      <c r="E40" s="33">
        <f>E39+1</f>
        <v>2063</v>
      </c>
      <c r="F40" s="34"/>
      <c r="G40" s="354">
        <f>-C4</f>
        <v>-15960000</v>
      </c>
      <c r="H40" s="352">
        <f>Maintenance!F36</f>
        <v>-610600</v>
      </c>
      <c r="I40" s="354">
        <f>ROUND((G40+H40)*NPV!C38,0)</f>
        <v>-5692263</v>
      </c>
      <c r="J40" s="299"/>
      <c r="K40" s="299"/>
      <c r="L40" s="299"/>
      <c r="M40" s="299"/>
      <c r="N40" s="299"/>
      <c r="O40" s="299"/>
      <c r="P40" s="299"/>
      <c r="Q40" s="299"/>
      <c r="R40" s="299"/>
      <c r="S40" s="299"/>
      <c r="T40" s="299"/>
      <c r="U40" s="299"/>
      <c r="V40" s="299"/>
      <c r="W40" s="299"/>
      <c r="X40" s="299"/>
      <c r="Y40" s="299"/>
      <c r="Z40" s="299"/>
    </row>
    <row r="41" spans="1:26" ht="13.5" thickTop="1">
      <c r="A41" s="299"/>
      <c r="B41" s="299"/>
      <c r="C41" s="299"/>
      <c r="D41" s="299"/>
      <c r="E41" s="20" t="s">
        <v>51</v>
      </c>
      <c r="F41" s="26">
        <f>SUM(F5:F40)</f>
        <v>1</v>
      </c>
      <c r="G41" s="355">
        <f>SUM(G5:G40)</f>
        <v>24075000</v>
      </c>
      <c r="H41" s="356">
        <f>SUM(H5:H40)</f>
        <v>6226400</v>
      </c>
      <c r="I41" s="355">
        <f>SUM(I5:I40)</f>
        <v>32100417</v>
      </c>
      <c r="J41" s="299"/>
      <c r="K41" s="299"/>
      <c r="L41" s="299"/>
      <c r="M41" s="299"/>
      <c r="N41" s="299"/>
      <c r="O41" s="299"/>
      <c r="P41" s="299"/>
      <c r="Q41" s="299"/>
      <c r="R41" s="299"/>
      <c r="S41" s="299"/>
      <c r="T41" s="299"/>
      <c r="U41" s="299"/>
      <c r="V41" s="299"/>
      <c r="W41" s="299"/>
      <c r="X41" s="299"/>
      <c r="Y41" s="299"/>
      <c r="Z41" s="299"/>
    </row>
    <row r="42" spans="1:26">
      <c r="A42" s="299"/>
      <c r="B42" s="299"/>
      <c r="C42" s="299"/>
      <c r="D42" s="299"/>
      <c r="E42" s="299"/>
      <c r="F42" s="299"/>
      <c r="G42" s="396">
        <f>SUM(G10:G13)</f>
        <v>11970000</v>
      </c>
      <c r="H42" s="299"/>
      <c r="I42" s="299"/>
      <c r="J42" s="299"/>
      <c r="K42" s="299"/>
      <c r="L42" s="299"/>
      <c r="M42" s="299"/>
      <c r="N42" s="299"/>
      <c r="O42" s="299"/>
      <c r="P42" s="299"/>
      <c r="Q42" s="299"/>
      <c r="R42" s="299"/>
      <c r="S42" s="299"/>
      <c r="T42" s="299"/>
      <c r="U42" s="299"/>
      <c r="V42" s="299"/>
      <c r="W42" s="299"/>
      <c r="X42" s="299"/>
      <c r="Y42" s="299"/>
      <c r="Z42" s="299"/>
    </row>
    <row r="43" spans="1:26">
      <c r="A43" s="299"/>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row>
    <row r="44" spans="1:26">
      <c r="A44" s="299"/>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row>
    <row r="45" spans="1:26">
      <c r="A45" s="299"/>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row>
    <row r="46" spans="1:26">
      <c r="A46" s="299"/>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row>
    <row r="47" spans="1:26">
      <c r="A47" s="299"/>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row>
    <row r="48" spans="1:26">
      <c r="A48" s="299"/>
      <c r="B48" s="299"/>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row>
    <row r="49" spans="1:26">
      <c r="A49" s="299"/>
      <c r="B49" s="299"/>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row>
    <row r="50" spans="1:26">
      <c r="A50" s="299"/>
      <c r="B50" s="299"/>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row>
    <row r="51" spans="1:26">
      <c r="A51" s="299"/>
      <c r="B51" s="299"/>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row>
    <row r="52" spans="1:26">
      <c r="A52" s="299"/>
      <c r="B52" s="299"/>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299"/>
    </row>
    <row r="53" spans="1:26">
      <c r="A53" s="299"/>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row>
    <row r="54" spans="1:26">
      <c r="A54" s="299"/>
      <c r="B54" s="299"/>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299"/>
    </row>
    <row r="55" spans="1:26">
      <c r="A55" s="299"/>
      <c r="B55" s="299"/>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row>
    <row r="56" spans="1:26">
      <c r="A56" s="299"/>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row>
    <row r="57" spans="1:26">
      <c r="A57" s="299"/>
      <c r="B57" s="299"/>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row>
    <row r="58" spans="1:26">
      <c r="A58" s="299"/>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row>
    <row r="59" spans="1:26">
      <c r="A59" s="299"/>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row>
    <row r="60" spans="1:26">
      <c r="A60" s="299"/>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row>
    <row r="61" spans="1:26">
      <c r="A61" s="299"/>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row>
    <row r="62" spans="1:26">
      <c r="A62" s="299"/>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row>
    <row r="63" spans="1:26">
      <c r="A63" s="299"/>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row>
    <row r="64" spans="1:26">
      <c r="A64" s="299"/>
      <c r="B64" s="299"/>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row>
    <row r="65" spans="1:26">
      <c r="A65" s="299"/>
      <c r="B65" s="299"/>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row>
    <row r="66" spans="1:26">
      <c r="A66" s="299"/>
      <c r="B66" s="299"/>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row>
    <row r="67" spans="1:26">
      <c r="A67" s="299"/>
      <c r="B67" s="299"/>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row>
    <row r="68" spans="1:26">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row>
    <row r="69" spans="1:26">
      <c r="A69" s="299"/>
      <c r="B69" s="299"/>
      <c r="C69" s="299"/>
      <c r="D69" s="299"/>
      <c r="E69" s="299"/>
      <c r="F69" s="299"/>
      <c r="G69" s="299"/>
      <c r="H69" s="299"/>
      <c r="I69" s="299"/>
      <c r="J69" s="299"/>
      <c r="K69" s="299"/>
      <c r="L69" s="299"/>
      <c r="M69" s="299"/>
      <c r="N69" s="299"/>
      <c r="O69" s="299"/>
      <c r="P69" s="299"/>
      <c r="Q69" s="299"/>
      <c r="R69" s="299"/>
      <c r="S69" s="299"/>
      <c r="T69" s="299"/>
      <c r="U69" s="299"/>
      <c r="V69" s="299"/>
      <c r="W69" s="299"/>
      <c r="X69" s="299"/>
      <c r="Y69" s="299"/>
      <c r="Z69" s="299"/>
    </row>
    <row r="70" spans="1:26">
      <c r="A70" s="299"/>
      <c r="B70" s="299"/>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row>
    <row r="71" spans="1:26">
      <c r="A71" s="299"/>
      <c r="B71" s="299"/>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row>
    <row r="72" spans="1:26">
      <c r="A72" s="299"/>
      <c r="B72" s="299"/>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299"/>
    </row>
    <row r="73" spans="1:26">
      <c r="A73" s="299"/>
      <c r="B73" s="299"/>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row>
    <row r="74" spans="1:26">
      <c r="A74" s="299"/>
      <c r="B74" s="299"/>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row>
    <row r="75" spans="1:26">
      <c r="A75" s="299"/>
      <c r="B75" s="299"/>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row>
  </sheetData>
  <mergeCells count="4">
    <mergeCell ref="A3:B3"/>
    <mergeCell ref="A5:B5"/>
    <mergeCell ref="A4:B4"/>
    <mergeCell ref="E3:I3"/>
  </mergeCell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34AB5-B183-4D80-A8E4-1B68AD41900E}">
  <sheetPr>
    <tabColor rgb="FFFFC000"/>
  </sheetPr>
  <dimension ref="A1:AW266"/>
  <sheetViews>
    <sheetView topLeftCell="A85" zoomScale="70" zoomScaleNormal="70" workbookViewId="0">
      <selection activeCell="G88" sqref="G88"/>
    </sheetView>
  </sheetViews>
  <sheetFormatPr defaultRowHeight="12.75"/>
  <cols>
    <col min="1" max="1" width="23.28515625" customWidth="1"/>
    <col min="2" max="2" width="27.140625" bestFit="1" customWidth="1"/>
    <col min="3" max="3" width="15.7109375" customWidth="1"/>
    <col min="4" max="4" width="18.7109375" customWidth="1"/>
    <col min="5" max="5" width="18.7109375" bestFit="1" customWidth="1"/>
    <col min="6" max="6" width="21.42578125" customWidth="1"/>
    <col min="7" max="7" width="12.5703125" customWidth="1"/>
    <col min="8" max="8" width="13.5703125" customWidth="1"/>
    <col min="9" max="9" width="15.140625" bestFit="1" customWidth="1"/>
    <col min="10" max="10" width="12.28515625" customWidth="1"/>
    <col min="11" max="11" width="23.140625" customWidth="1"/>
    <col min="12" max="12" width="19.140625" customWidth="1"/>
    <col min="13" max="13" width="18.7109375" style="2" customWidth="1"/>
    <col min="14" max="14" width="14.42578125" bestFit="1" customWidth="1"/>
    <col min="15" max="15" width="15.140625" bestFit="1" customWidth="1"/>
    <col min="16" max="16" width="15.42578125" bestFit="1" customWidth="1"/>
    <col min="17" max="17" width="18.7109375" bestFit="1" customWidth="1"/>
    <col min="18" max="18" width="14.85546875" customWidth="1"/>
    <col min="19" max="20" width="17.28515625" bestFit="1" customWidth="1"/>
    <col min="21" max="21" width="14.140625" bestFit="1" customWidth="1"/>
    <col min="22" max="22" width="14.85546875" bestFit="1" customWidth="1"/>
    <col min="23" max="23" width="11.7109375" customWidth="1"/>
    <col min="24" max="25" width="17.28515625" bestFit="1" customWidth="1"/>
    <col min="26" max="26" width="12.42578125" customWidth="1"/>
    <col min="27" max="27" width="10.7109375" customWidth="1"/>
    <col min="28" max="28" width="16.140625" customWidth="1"/>
    <col min="29" max="31" width="15.7109375" customWidth="1"/>
    <col min="35" max="35" width="10.7109375" bestFit="1" customWidth="1"/>
    <col min="37" max="37" width="11.7109375" customWidth="1"/>
    <col min="38" max="38" width="13.85546875" customWidth="1"/>
  </cols>
  <sheetData>
    <row r="1" spans="1:49">
      <c r="A1" s="62"/>
      <c r="B1" s="62" t="s">
        <v>105</v>
      </c>
      <c r="C1" s="62" t="s">
        <v>106</v>
      </c>
      <c r="D1" s="63"/>
      <c r="E1" s="63"/>
      <c r="F1" s="63"/>
      <c r="G1" s="63"/>
      <c r="H1" s="63"/>
      <c r="I1" s="63"/>
      <c r="J1" s="63"/>
      <c r="K1" s="64"/>
      <c r="L1" s="8" t="s">
        <v>57</v>
      </c>
      <c r="M1"/>
      <c r="U1" s="65"/>
      <c r="V1" s="65"/>
      <c r="W1" s="65"/>
    </row>
    <row r="2" spans="1:49" s="2" customFormat="1">
      <c r="A2" s="66" t="s">
        <v>107</v>
      </c>
      <c r="B2" s="67">
        <v>7.6</v>
      </c>
      <c r="C2" s="67">
        <v>8.5</v>
      </c>
      <c r="D2" s="68"/>
      <c r="F2" s="68"/>
      <c r="G2" s="68"/>
      <c r="H2" s="68"/>
      <c r="I2" s="68"/>
      <c r="J2" s="68"/>
      <c r="K2" s="64"/>
      <c r="M2"/>
      <c r="N2"/>
      <c r="O2"/>
      <c r="P2"/>
      <c r="Q2"/>
      <c r="R2"/>
      <c r="S2"/>
      <c r="T2"/>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spans="1:49">
      <c r="A3" s="62" t="s">
        <v>108</v>
      </c>
      <c r="B3" s="69">
        <v>35</v>
      </c>
      <c r="C3" s="69">
        <v>65</v>
      </c>
      <c r="D3" s="63"/>
      <c r="E3" s="63"/>
      <c r="F3" s="63"/>
      <c r="G3" s="63"/>
      <c r="H3" s="63"/>
      <c r="I3" s="63"/>
      <c r="J3" s="63"/>
      <c r="L3" s="70"/>
      <c r="M3" s="643" t="s">
        <v>105</v>
      </c>
      <c r="N3" s="644"/>
      <c r="O3" s="643" t="s">
        <v>106</v>
      </c>
      <c r="P3" s="645"/>
      <c r="Q3" s="629" t="s">
        <v>109</v>
      </c>
      <c r="R3" s="630"/>
      <c r="S3" s="633" t="s">
        <v>110</v>
      </c>
      <c r="T3" s="633" t="s">
        <v>111</v>
      </c>
      <c r="U3" s="65"/>
      <c r="V3" s="65"/>
      <c r="W3" s="65"/>
    </row>
    <row r="4" spans="1:49" s="2" customFormat="1" ht="13.35" customHeight="1">
      <c r="A4" s="66" t="s">
        <v>20</v>
      </c>
      <c r="B4" s="71">
        <v>14</v>
      </c>
      <c r="C4" s="72">
        <f>(C2*60)/C3</f>
        <v>7.8461538461538458</v>
      </c>
      <c r="D4" s="68"/>
      <c r="E4" s="68"/>
      <c r="F4" s="68"/>
      <c r="G4" s="73"/>
      <c r="H4" s="73"/>
      <c r="I4" s="68"/>
      <c r="J4" s="68"/>
      <c r="L4" s="633" t="s">
        <v>76</v>
      </c>
      <c r="M4" s="641" t="s">
        <v>112</v>
      </c>
      <c r="N4" s="642"/>
      <c r="O4" s="636" t="s">
        <v>112</v>
      </c>
      <c r="P4" s="637"/>
      <c r="Q4" s="631"/>
      <c r="R4" s="632"/>
      <c r="S4" s="634"/>
      <c r="T4" s="634"/>
      <c r="U4" s="36"/>
      <c r="V4" s="36"/>
      <c r="W4" s="36"/>
    </row>
    <row r="5" spans="1:49" s="6" customFormat="1" ht="26.25" thickBot="1">
      <c r="A5" s="74"/>
      <c r="B5" s="75"/>
      <c r="C5" s="76"/>
      <c r="D5" s="63"/>
      <c r="E5" s="63"/>
      <c r="F5" s="63"/>
      <c r="G5" s="76"/>
      <c r="H5" s="76"/>
      <c r="I5" s="63"/>
      <c r="J5" s="63"/>
      <c r="K5"/>
      <c r="L5" s="635"/>
      <c r="M5" s="77" t="s">
        <v>113</v>
      </c>
      <c r="N5" s="77" t="s">
        <v>114</v>
      </c>
      <c r="O5" s="77" t="s">
        <v>113</v>
      </c>
      <c r="P5" s="77" t="s">
        <v>114</v>
      </c>
      <c r="Q5" s="570" t="s">
        <v>113</v>
      </c>
      <c r="R5" s="570" t="s">
        <v>114</v>
      </c>
      <c r="S5" s="635"/>
      <c r="T5" s="635"/>
      <c r="U5" s="65"/>
      <c r="V5" s="65"/>
      <c r="W5" s="65"/>
    </row>
    <row r="6" spans="1:49" ht="13.5" thickTop="1">
      <c r="A6" s="78" t="s">
        <v>115</v>
      </c>
      <c r="B6" s="79">
        <v>0.17</v>
      </c>
      <c r="C6" s="63"/>
      <c r="D6" s="63"/>
      <c r="E6" s="63"/>
      <c r="F6" s="63"/>
      <c r="G6" s="63"/>
      <c r="H6" s="63"/>
      <c r="I6" s="63"/>
      <c r="J6" s="63"/>
      <c r="K6" s="80"/>
      <c r="L6" s="81">
        <v>2025</v>
      </c>
      <c r="M6" s="82">
        <f t="shared" ref="M6:M36" si="0">(E96/$B$3)+O96</f>
        <v>1381998.383780583</v>
      </c>
      <c r="N6" s="82">
        <f t="shared" ref="N6:N36" si="1">(D96/$B$3)+P96</f>
        <v>254995.93882379867</v>
      </c>
      <c r="O6" s="82">
        <f>(E145/$C$3)+(K145/$B$3)</f>
        <v>837239.54589248588</v>
      </c>
      <c r="P6" s="82">
        <f>(D145/$C$3)+(J145/$B$3)</f>
        <v>171482.79855629231</v>
      </c>
      <c r="Q6" s="83">
        <f>M6-O6</f>
        <v>544758.83788809716</v>
      </c>
      <c r="R6" s="83">
        <f>N6-P6</f>
        <v>83513.140267506358</v>
      </c>
      <c r="S6" s="84">
        <f>Q6*$A$12+R6*$A$11</f>
        <v>10743971.973790513</v>
      </c>
      <c r="T6" s="84">
        <f>S6*[4]NPV!C10</f>
        <v>6253089.5079376847</v>
      </c>
      <c r="U6" s="65"/>
      <c r="V6" s="65"/>
      <c r="W6" s="65"/>
    </row>
    <row r="7" spans="1:49">
      <c r="A7" s="646" t="s">
        <v>116</v>
      </c>
      <c r="B7" s="646"/>
      <c r="C7" s="63"/>
      <c r="D7" s="63"/>
      <c r="E7" s="63"/>
      <c r="F7" s="63"/>
      <c r="G7" s="63"/>
      <c r="H7" s="63"/>
      <c r="I7" s="63"/>
      <c r="J7" s="63"/>
      <c r="K7" s="80"/>
      <c r="L7" s="85">
        <f>L6+1</f>
        <v>2026</v>
      </c>
      <c r="M7" s="82">
        <f t="shared" si="0"/>
        <v>1410880.6606147436</v>
      </c>
      <c r="N7" s="83">
        <f t="shared" si="1"/>
        <v>259265.27053677288</v>
      </c>
      <c r="O7" s="83">
        <f>(E146/$C$3)+(K146/$B$3)</f>
        <v>850672.71386063006</v>
      </c>
      <c r="P7" s="83">
        <f t="shared" ref="P7:P36" si="2">(D146/$C$3)+(J146/$B$3)</f>
        <v>174234.17030880379</v>
      </c>
      <c r="Q7" s="83">
        <f t="shared" ref="Q7:R35" si="3">M7-O7</f>
        <v>560207.94675411354</v>
      </c>
      <c r="R7" s="83">
        <f t="shared" si="3"/>
        <v>85031.100227969087</v>
      </c>
      <c r="S7" s="84">
        <f t="shared" ref="S7:S36" si="4">Q7*$A$12+R7*$A$11</f>
        <v>11023578.247387614</v>
      </c>
      <c r="T7" s="84">
        <f>S7*[4]NPV!C11</f>
        <v>5996096.1727707488</v>
      </c>
      <c r="U7" s="65"/>
      <c r="V7" s="65"/>
      <c r="W7" s="65"/>
    </row>
    <row r="8" spans="1:49">
      <c r="A8" s="36"/>
      <c r="B8" s="86"/>
      <c r="C8" s="63"/>
      <c r="D8" s="63"/>
      <c r="E8" s="63"/>
      <c r="F8" s="63"/>
      <c r="G8" s="63"/>
      <c r="H8" s="63"/>
      <c r="I8" s="63"/>
      <c r="J8" s="63"/>
      <c r="K8" s="80"/>
      <c r="L8" s="85">
        <f t="shared" ref="L8:L36" si="5">L7+1</f>
        <v>2027</v>
      </c>
      <c r="M8" s="82">
        <f t="shared" si="0"/>
        <v>1440748.2290229653</v>
      </c>
      <c r="N8" s="83">
        <f t="shared" si="1"/>
        <v>263610.72819949861</v>
      </c>
      <c r="O8" s="83">
        <f t="shared" ref="O8:O36" si="6">(E147/$C$3)+(K147/$B$3)</f>
        <v>864321.5177007746</v>
      </c>
      <c r="P8" s="83">
        <f t="shared" si="2"/>
        <v>177029.70844473699</v>
      </c>
      <c r="Q8" s="83">
        <f t="shared" si="3"/>
        <v>576426.71132219071</v>
      </c>
      <c r="R8" s="83">
        <f t="shared" si="3"/>
        <v>86581.019754761626</v>
      </c>
      <c r="S8" s="84">
        <f t="shared" si="4"/>
        <v>11315826.094862767</v>
      </c>
      <c r="T8" s="84">
        <f>S8*[4]NPV!C12</f>
        <v>5752392.1852430552</v>
      </c>
      <c r="U8" s="65"/>
      <c r="V8" s="65"/>
      <c r="W8" s="65"/>
    </row>
    <row r="9" spans="1:49">
      <c r="A9" s="4"/>
      <c r="B9" s="4"/>
      <c r="C9" s="87"/>
      <c r="D9" s="88"/>
      <c r="E9" s="88"/>
      <c r="F9" s="4"/>
      <c r="G9" s="89"/>
      <c r="H9" s="4"/>
      <c r="I9" s="4"/>
      <c r="J9" s="4"/>
      <c r="K9" s="80"/>
      <c r="L9" s="85">
        <f t="shared" si="5"/>
        <v>2028</v>
      </c>
      <c r="M9" s="82">
        <f t="shared" si="0"/>
        <v>1471671.3638138003</v>
      </c>
      <c r="N9" s="83">
        <f t="shared" si="1"/>
        <v>268033.89463376091</v>
      </c>
      <c r="O9" s="83">
        <f t="shared" si="6"/>
        <v>878189.4204787357</v>
      </c>
      <c r="P9" s="83">
        <f t="shared" si="2"/>
        <v>179870.12226672901</v>
      </c>
      <c r="Q9" s="83">
        <f t="shared" si="3"/>
        <v>593481.94333506457</v>
      </c>
      <c r="R9" s="83">
        <f t="shared" si="3"/>
        <v>88163.772367031896</v>
      </c>
      <c r="S9" s="84">
        <f t="shared" si="4"/>
        <v>11621756.823520422</v>
      </c>
      <c r="T9" s="84">
        <f>S9*[4]NPV!C13</f>
        <v>5521412.9482228337</v>
      </c>
    </row>
    <row r="10" spans="1:49">
      <c r="A10" s="4"/>
      <c r="B10" s="4"/>
      <c r="C10" s="87"/>
      <c r="D10" s="88"/>
      <c r="E10" s="88"/>
      <c r="F10" s="4"/>
      <c r="G10" s="89"/>
      <c r="H10" s="4"/>
      <c r="I10" s="4"/>
      <c r="J10" s="4"/>
      <c r="K10" s="80"/>
      <c r="L10" s="85">
        <f t="shared" si="5"/>
        <v>2029</v>
      </c>
      <c r="M10" s="82">
        <f t="shared" si="0"/>
        <v>1503729.000411828</v>
      </c>
      <c r="N10" s="83">
        <f t="shared" si="1"/>
        <v>272536.39767479594</v>
      </c>
      <c r="O10" s="83">
        <f t="shared" si="6"/>
        <v>892279.94090023427</v>
      </c>
      <c r="P10" s="83">
        <f t="shared" si="2"/>
        <v>182756.13247354201</v>
      </c>
      <c r="Q10" s="83">
        <f t="shared" si="3"/>
        <v>611449.05951159378</v>
      </c>
      <c r="R10" s="83">
        <f t="shared" si="3"/>
        <v>89780.265201253933</v>
      </c>
      <c r="S10" s="84">
        <f t="shared" si="4"/>
        <v>11942543.528013214</v>
      </c>
      <c r="T10" s="84">
        <f>S10*[4]NPV!C14</f>
        <v>5302632.1501909103</v>
      </c>
    </row>
    <row r="11" spans="1:49">
      <c r="A11" s="90">
        <v>29.5</v>
      </c>
      <c r="B11" s="91" t="s">
        <v>117</v>
      </c>
      <c r="C11" s="91"/>
      <c r="D11" s="91"/>
      <c r="E11" s="4"/>
      <c r="F11" s="295"/>
      <c r="G11" s="38"/>
      <c r="H11" s="4"/>
      <c r="I11" s="4"/>
      <c r="J11" s="4"/>
      <c r="K11" s="80"/>
      <c r="L11" s="85">
        <f t="shared" si="5"/>
        <v>2030</v>
      </c>
      <c r="M11" s="82">
        <f t="shared" si="0"/>
        <v>1537010.2124859174</v>
      </c>
      <c r="N11" s="83">
        <f t="shared" si="1"/>
        <v>277119.91213493084</v>
      </c>
      <c r="O11" s="83">
        <f t="shared" si="6"/>
        <v>906596.65420521155</v>
      </c>
      <c r="P11" s="83">
        <f t="shared" si="2"/>
        <v>185688.4713432361</v>
      </c>
      <c r="Q11" s="83">
        <f t="shared" si="3"/>
        <v>630413.55828070582</v>
      </c>
      <c r="R11" s="83">
        <f t="shared" si="3"/>
        <v>91431.440791694738</v>
      </c>
      <c r="S11" s="84">
        <f t="shared" si="4"/>
        <v>12279513.589221723</v>
      </c>
      <c r="T11" s="84">
        <f>S11*[4]NPV!C15</f>
        <v>5095561.5768911866</v>
      </c>
    </row>
    <row r="12" spans="1:49">
      <c r="A12" s="90">
        <v>15.2</v>
      </c>
      <c r="B12" s="91" t="s">
        <v>118</v>
      </c>
      <c r="C12" s="91"/>
      <c r="D12" s="91"/>
      <c r="E12" s="4"/>
      <c r="F12" s="295"/>
      <c r="G12" s="38"/>
      <c r="H12" s="4"/>
      <c r="I12" s="4"/>
      <c r="J12" s="4"/>
      <c r="K12" s="80"/>
      <c r="L12" s="85">
        <f t="shared" si="5"/>
        <v>2031</v>
      </c>
      <c r="M12" s="82">
        <f t="shared" si="0"/>
        <v>1571616.0095679839</v>
      </c>
      <c r="N12" s="83">
        <f t="shared" si="1"/>
        <v>281786.16189054487</v>
      </c>
      <c r="O12" s="83">
        <f t="shared" si="6"/>
        <v>921143.19307652535</v>
      </c>
      <c r="P12" s="83">
        <f t="shared" si="2"/>
        <v>188667.88291928833</v>
      </c>
      <c r="Q12" s="83">
        <f t="shared" si="3"/>
        <v>650472.81649145856</v>
      </c>
      <c r="R12" s="83">
        <f t="shared" si="3"/>
        <v>93118.278971256543</v>
      </c>
      <c r="S12" s="84">
        <f t="shared" si="4"/>
        <v>12634176.040322237</v>
      </c>
      <c r="T12" s="84">
        <f>S12*[4]NPV!C16</f>
        <v>4899751.2944849608</v>
      </c>
    </row>
    <row r="13" spans="1:49">
      <c r="A13" s="64"/>
      <c r="B13" s="64"/>
      <c r="C13" s="64"/>
      <c r="D13" s="89"/>
      <c r="E13" s="4"/>
      <c r="F13" s="42"/>
      <c r="G13" s="42"/>
      <c r="H13" s="4"/>
      <c r="I13" s="4"/>
      <c r="J13" s="4"/>
      <c r="K13" s="80"/>
      <c r="L13" s="85">
        <f t="shared" si="5"/>
        <v>2032</v>
      </c>
      <c r="M13" s="82">
        <f t="shared" si="0"/>
        <v>1607661.539419699</v>
      </c>
      <c r="N13" s="83">
        <f t="shared" si="1"/>
        <v>286536.9221022111</v>
      </c>
      <c r="O13" s="83">
        <f t="shared" si="6"/>
        <v>935923.24856325926</v>
      </c>
      <c r="P13" s="83">
        <f t="shared" si="2"/>
        <v>191695.1231997037</v>
      </c>
      <c r="Q13" s="83">
        <f t="shared" si="3"/>
        <v>671738.29085643974</v>
      </c>
      <c r="R13" s="83">
        <f t="shared" si="3"/>
        <v>94841.798902507406</v>
      </c>
      <c r="S13" s="84">
        <f t="shared" si="4"/>
        <v>13008255.088641852</v>
      </c>
      <c r="T13" s="84">
        <f>S13*[4]NPV!C17</f>
        <v>4714790.2793707103</v>
      </c>
    </row>
    <row r="14" spans="1:49" ht="13.35" customHeight="1">
      <c r="A14" s="90">
        <v>0.96</v>
      </c>
      <c r="B14" s="91" t="s">
        <v>119</v>
      </c>
      <c r="C14" s="91"/>
      <c r="D14" s="91"/>
      <c r="E14" s="4"/>
      <c r="F14" s="295"/>
      <c r="G14" s="38"/>
      <c r="H14" s="4"/>
      <c r="I14" s="4"/>
      <c r="J14" s="4"/>
      <c r="K14" s="80"/>
      <c r="L14" s="85">
        <f t="shared" si="5"/>
        <v>2033</v>
      </c>
      <c r="M14" s="82">
        <f t="shared" si="0"/>
        <v>1645278.8067442437</v>
      </c>
      <c r="N14" s="83">
        <f t="shared" si="1"/>
        <v>291374.02157881059</v>
      </c>
      <c r="O14" s="83">
        <f t="shared" si="6"/>
        <v>950940.57101887662</v>
      </c>
      <c r="P14" s="83">
        <f t="shared" si="2"/>
        <v>194770.96032916749</v>
      </c>
      <c r="Q14" s="83">
        <f t="shared" si="3"/>
        <v>694338.23572536709</v>
      </c>
      <c r="R14" s="83">
        <f t="shared" si="3"/>
        <v>96603.061249643099</v>
      </c>
      <c r="S14" s="84">
        <f t="shared" si="4"/>
        <v>13403731.48989005</v>
      </c>
      <c r="T14" s="84">
        <f>S14*[4]NPV!C18</f>
        <v>4540307.5952014998</v>
      </c>
      <c r="U14" s="647"/>
      <c r="V14" s="92"/>
      <c r="W14" s="92"/>
      <c r="X14" s="92"/>
      <c r="Y14" s="92"/>
    </row>
    <row r="15" spans="1:49" ht="13.35" customHeight="1">
      <c r="A15" s="90">
        <v>0.41</v>
      </c>
      <c r="B15" s="91" t="s">
        <v>120</v>
      </c>
      <c r="C15" s="91"/>
      <c r="D15" s="91"/>
      <c r="E15" s="5"/>
      <c r="F15" s="295"/>
      <c r="G15" s="38"/>
      <c r="H15" s="5"/>
      <c r="I15" s="88"/>
      <c r="J15" s="7"/>
      <c r="K15" s="80"/>
      <c r="L15" s="85">
        <f t="shared" si="5"/>
        <v>2034</v>
      </c>
      <c r="M15" s="82">
        <f t="shared" si="0"/>
        <v>1684620.0566763533</v>
      </c>
      <c r="N15" s="83">
        <f t="shared" si="1"/>
        <v>296299.34529744851</v>
      </c>
      <c r="O15" s="83">
        <f t="shared" si="6"/>
        <v>966198.97105446155</v>
      </c>
      <c r="P15" s="83">
        <f t="shared" si="2"/>
        <v>197896.1747942873</v>
      </c>
      <c r="Q15" s="83">
        <f t="shared" si="3"/>
        <v>718421.08562189178</v>
      </c>
      <c r="R15" s="83">
        <f t="shared" si="3"/>
        <v>98403.170503161207</v>
      </c>
      <c r="S15" s="84">
        <f t="shared" si="4"/>
        <v>13822894.031296011</v>
      </c>
      <c r="T15" s="84">
        <f>S15*[4]NPV!C19</f>
        <v>4375974.252407521</v>
      </c>
      <c r="U15" s="647"/>
      <c r="V15" s="92"/>
      <c r="W15" s="92"/>
      <c r="X15" s="92"/>
      <c r="Y15" s="92"/>
    </row>
    <row r="16" spans="1:49">
      <c r="A16" s="3"/>
      <c r="B16" s="7"/>
      <c r="C16" s="7"/>
      <c r="D16" s="7"/>
      <c r="E16" s="4"/>
      <c r="F16" s="4"/>
      <c r="G16" s="7"/>
      <c r="H16" s="4"/>
      <c r="I16" s="4"/>
      <c r="J16" s="4"/>
      <c r="K16" s="80"/>
      <c r="L16" s="85">
        <f t="shared" si="5"/>
        <v>2035</v>
      </c>
      <c r="M16" s="82">
        <f t="shared" si="0"/>
        <v>1725862.022643131</v>
      </c>
      <c r="N16" s="83">
        <f t="shared" si="1"/>
        <v>301314.8370921528</v>
      </c>
      <c r="O16" s="83">
        <f t="shared" si="6"/>
        <v>981702.32050728775</v>
      </c>
      <c r="P16" s="83">
        <f t="shared" si="2"/>
        <v>201071.55962197462</v>
      </c>
      <c r="Q16" s="83">
        <f t="shared" si="3"/>
        <v>744159.70213584322</v>
      </c>
      <c r="R16" s="83">
        <f t="shared" si="3"/>
        <v>100243.27747017817</v>
      </c>
      <c r="S16" s="84">
        <f t="shared" si="4"/>
        <v>14268404.157835074</v>
      </c>
      <c r="T16" s="84">
        <f>S16*[4]NPV!C20</f>
        <v>4221505.9337964607</v>
      </c>
      <c r="U16" s="647"/>
      <c r="V16" s="571"/>
      <c r="W16" s="571"/>
      <c r="X16" s="92"/>
      <c r="Y16" s="92"/>
    </row>
    <row r="17" spans="1:25" ht="12.95" customHeight="1">
      <c r="A17" s="648" t="s">
        <v>121</v>
      </c>
      <c r="B17" s="648"/>
      <c r="C17" s="648"/>
      <c r="D17" s="648"/>
      <c r="E17" s="648"/>
      <c r="F17" s="4"/>
      <c r="G17" s="7"/>
      <c r="H17" s="4"/>
      <c r="I17" s="4"/>
      <c r="J17" s="4"/>
      <c r="K17" s="80"/>
      <c r="L17" s="85">
        <f t="shared" si="5"/>
        <v>2036</v>
      </c>
      <c r="M17" s="82">
        <f t="shared" si="0"/>
        <v>1769211.3101533537</v>
      </c>
      <c r="N17" s="83">
        <f t="shared" si="1"/>
        <v>306422.5025256112</v>
      </c>
      <c r="O17" s="83">
        <f t="shared" si="6"/>
        <v>997454.55342496291</v>
      </c>
      <c r="P17" s="83">
        <f t="shared" si="2"/>
        <v>204297.92058101651</v>
      </c>
      <c r="Q17" s="83">
        <f t="shared" si="3"/>
        <v>771756.75672839081</v>
      </c>
      <c r="R17" s="83">
        <f t="shared" si="3"/>
        <v>102124.58194459468</v>
      </c>
      <c r="S17" s="84">
        <f t="shared" si="4"/>
        <v>14743377.869637083</v>
      </c>
      <c r="T17" s="84">
        <f>S17*[4]NPV!C21</f>
        <v>4076666.8376822518</v>
      </c>
      <c r="U17" s="93"/>
      <c r="V17" s="94"/>
      <c r="W17" s="94"/>
      <c r="X17" s="93"/>
      <c r="Y17" s="93"/>
    </row>
    <row r="18" spans="1:25">
      <c r="A18" s="649" t="s">
        <v>122</v>
      </c>
      <c r="B18" s="650"/>
      <c r="C18" s="7"/>
      <c r="D18" s="7"/>
      <c r="E18" s="4"/>
      <c r="F18" s="4"/>
      <c r="G18" s="7"/>
      <c r="H18" s="4"/>
      <c r="I18" s="4"/>
      <c r="J18" s="4"/>
      <c r="K18" s="80"/>
      <c r="L18" s="85">
        <f t="shared" si="5"/>
        <v>2037</v>
      </c>
      <c r="M18" s="82">
        <f t="shared" si="0"/>
        <v>1814911.2907127563</v>
      </c>
      <c r="N18" s="83">
        <f t="shared" si="1"/>
        <v>311624.41195963253</v>
      </c>
      <c r="O18" s="83">
        <f t="shared" si="6"/>
        <v>1013459.6670653974</v>
      </c>
      <c r="P18" s="83">
        <f t="shared" si="2"/>
        <v>207576.07638688863</v>
      </c>
      <c r="Q18" s="83">
        <f t="shared" si="3"/>
        <v>801451.62364735897</v>
      </c>
      <c r="R18" s="83">
        <f t="shared" si="3"/>
        <v>104048.3355727439</v>
      </c>
      <c r="S18" s="84">
        <f t="shared" si="4"/>
        <v>15251490.5788358</v>
      </c>
      <c r="T18" s="84">
        <f>S18*[4]NPV!C22</f>
        <v>3941274.9868078609</v>
      </c>
      <c r="U18" s="93"/>
      <c r="V18" s="94"/>
      <c r="W18" s="94"/>
      <c r="X18" s="93"/>
      <c r="Y18" s="93"/>
    </row>
    <row r="19" spans="1:25">
      <c r="A19" s="95"/>
      <c r="B19" s="96"/>
      <c r="C19" s="7"/>
      <c r="D19" s="7"/>
      <c r="E19" s="4"/>
      <c r="F19" s="4"/>
      <c r="G19" s="7"/>
      <c r="H19" s="4"/>
      <c r="I19" s="4"/>
      <c r="J19" s="4"/>
      <c r="K19" s="80"/>
      <c r="L19" s="85">
        <f t="shared" si="5"/>
        <v>2038</v>
      </c>
      <c r="M19" s="82">
        <f t="shared" si="0"/>
        <v>1863251.028657848</v>
      </c>
      <c r="N19" s="83">
        <f t="shared" si="1"/>
        <v>316922.70384159812</v>
      </c>
      <c r="O19" s="83">
        <f t="shared" si="6"/>
        <v>1029721.7229128538</v>
      </c>
      <c r="P19" s="83">
        <f t="shared" si="2"/>
        <v>210906.85890986165</v>
      </c>
      <c r="Q19" s="83">
        <f t="shared" si="3"/>
        <v>833529.3057449942</v>
      </c>
      <c r="R19" s="83">
        <f t="shared" si="3"/>
        <v>106015.84493173647</v>
      </c>
      <c r="S19" s="84">
        <f t="shared" si="4"/>
        <v>15797112.872810137</v>
      </c>
      <c r="T19" s="84">
        <f>S19*[4]NPV!C23</f>
        <v>3815209.4915231066</v>
      </c>
      <c r="U19" s="93"/>
      <c r="V19" s="94"/>
      <c r="W19" s="94"/>
      <c r="X19" s="93"/>
      <c r="Y19" s="93"/>
    </row>
    <row r="20" spans="1:25">
      <c r="A20" s="97" t="s">
        <v>123</v>
      </c>
      <c r="B20" s="98"/>
      <c r="F20" s="9"/>
      <c r="K20" s="80"/>
      <c r="L20" s="85">
        <f t="shared" si="5"/>
        <v>2039</v>
      </c>
      <c r="M20" s="82">
        <f t="shared" si="0"/>
        <v>1914576.9823546675</v>
      </c>
      <c r="N20" s="83">
        <f t="shared" si="1"/>
        <v>322319.58822594729</v>
      </c>
      <c r="O20" s="83">
        <f t="shared" si="6"/>
        <v>1046244.8477103339</v>
      </c>
      <c r="P20" s="83">
        <f t="shared" si="2"/>
        <v>214291.11338645397</v>
      </c>
      <c r="Q20" s="83">
        <f t="shared" si="3"/>
        <v>868332.13464433362</v>
      </c>
      <c r="R20" s="83">
        <f t="shared" si="3"/>
        <v>108028.47483949331</v>
      </c>
      <c r="S20" s="84">
        <f t="shared" si="4"/>
        <v>16385488.454358924</v>
      </c>
      <c r="T20" s="84">
        <f>S20*[4]NPV!C24</f>
        <v>3698420.4620434903</v>
      </c>
      <c r="U20" s="93"/>
      <c r="V20" s="94"/>
      <c r="W20" s="94"/>
      <c r="X20" s="93"/>
      <c r="Y20" s="93"/>
    </row>
    <row r="21" spans="1:25">
      <c r="A21" s="99">
        <v>4</v>
      </c>
      <c r="B21" s="96"/>
      <c r="F21" s="9"/>
      <c r="K21" s="80"/>
      <c r="L21" s="85">
        <f t="shared" si="5"/>
        <v>2040</v>
      </c>
      <c r="M21" s="82">
        <f t="shared" si="0"/>
        <v>1969308.548716902</v>
      </c>
      <c r="N21" s="83">
        <f t="shared" si="1"/>
        <v>327817.35055171704</v>
      </c>
      <c r="O21" s="83">
        <f t="shared" si="6"/>
        <v>1063033.2345085712</v>
      </c>
      <c r="P21" s="83">
        <f t="shared" si="2"/>
        <v>217729.69863428574</v>
      </c>
      <c r="Q21" s="83">
        <f t="shared" si="3"/>
        <v>906275.31420833082</v>
      </c>
      <c r="R21" s="83">
        <f t="shared" si="3"/>
        <v>110087.6519174313</v>
      </c>
      <c r="S21" s="84">
        <f t="shared" si="4"/>
        <v>17022970.507530849</v>
      </c>
      <c r="T21" s="84">
        <f>S21*[4]NPV!C25</f>
        <v>3590942.5738410964</v>
      </c>
      <c r="U21" s="93"/>
      <c r="V21" s="94"/>
      <c r="W21" s="94"/>
      <c r="X21" s="93"/>
      <c r="Y21" s="93"/>
    </row>
    <row r="22" spans="1:25">
      <c r="A22" s="97" t="s">
        <v>124</v>
      </c>
      <c r="B22" s="96"/>
      <c r="F22" s="9"/>
      <c r="K22" s="80"/>
      <c r="L22" s="85">
        <f t="shared" si="5"/>
        <v>2041</v>
      </c>
      <c r="M22" s="82">
        <f t="shared" si="0"/>
        <v>2001510.408228833</v>
      </c>
      <c r="N22" s="83">
        <f t="shared" si="1"/>
        <v>330887.30069189571</v>
      </c>
      <c r="O22" s="83">
        <f t="shared" si="6"/>
        <v>1072731.4502602995</v>
      </c>
      <c r="P22" s="83">
        <f t="shared" si="2"/>
        <v>219716.0801737963</v>
      </c>
      <c r="Q22" s="83">
        <f t="shared" si="3"/>
        <v>928778.9579685335</v>
      </c>
      <c r="R22" s="83">
        <f t="shared" si="3"/>
        <v>111171.22051809941</v>
      </c>
      <c r="S22" s="84">
        <f t="shared" si="4"/>
        <v>17396991.166405641</v>
      </c>
      <c r="T22" s="84">
        <f>S22*[4]NPV!C26</f>
        <v>3429758.0057359403</v>
      </c>
      <c r="U22" s="93"/>
      <c r="V22" s="94"/>
      <c r="W22" s="94"/>
      <c r="X22" s="93"/>
      <c r="Y22" s="93"/>
    </row>
    <row r="23" spans="1:25">
      <c r="A23" s="95" t="s">
        <v>125</v>
      </c>
      <c r="B23" s="100"/>
      <c r="F23" s="9"/>
      <c r="K23" s="80"/>
      <c r="L23" s="85">
        <f t="shared" si="5"/>
        <v>2042</v>
      </c>
      <c r="M23" s="82">
        <f t="shared" si="0"/>
        <v>2035062.9251509584</v>
      </c>
      <c r="N23" s="83">
        <f t="shared" si="1"/>
        <v>333989.71923485724</v>
      </c>
      <c r="O23" s="83">
        <f t="shared" si="6"/>
        <v>1082518.2266901904</v>
      </c>
      <c r="P23" s="83">
        <f t="shared" si="2"/>
        <v>221720.6006473884</v>
      </c>
      <c r="Q23" s="83">
        <f t="shared" si="3"/>
        <v>952544.69846076798</v>
      </c>
      <c r="R23" s="83">
        <f t="shared" si="3"/>
        <v>112269.11858746884</v>
      </c>
      <c r="S23" s="84">
        <f t="shared" si="4"/>
        <v>17790618.414934006</v>
      </c>
      <c r="T23" s="84">
        <f>S23*[4]NPV!C27</f>
        <v>3277906.8105636002</v>
      </c>
      <c r="U23" s="93"/>
      <c r="V23" s="94"/>
      <c r="W23" s="94"/>
      <c r="X23" s="93"/>
      <c r="Y23" s="93"/>
    </row>
    <row r="24" spans="1:25">
      <c r="A24" s="97" t="s">
        <v>126</v>
      </c>
      <c r="B24" s="101" t="s">
        <v>127</v>
      </c>
      <c r="F24" s="9"/>
      <c r="K24" s="80"/>
      <c r="L24" s="85">
        <f t="shared" si="5"/>
        <v>2043</v>
      </c>
      <c r="M24" s="82">
        <f t="shared" si="0"/>
        <v>2070088.9433716657</v>
      </c>
      <c r="N24" s="83">
        <f t="shared" si="1"/>
        <v>337125.04475692805</v>
      </c>
      <c r="O24" s="83">
        <f t="shared" si="6"/>
        <v>1092394.3731519179</v>
      </c>
      <c r="P24" s="83">
        <f t="shared" si="2"/>
        <v>223743.42582629644</v>
      </c>
      <c r="Q24" s="83">
        <f t="shared" si="3"/>
        <v>977694.57021974772</v>
      </c>
      <c r="R24" s="83">
        <f t="shared" si="3"/>
        <v>113381.61893063161</v>
      </c>
      <c r="S24" s="84">
        <f t="shared" si="4"/>
        <v>18205715.225793798</v>
      </c>
      <c r="T24" s="84">
        <f>S24*[4]NPV!C28</f>
        <v>3134942.1089314222</v>
      </c>
      <c r="U24" s="93"/>
      <c r="V24" s="94"/>
      <c r="W24" s="94"/>
      <c r="X24" s="93"/>
      <c r="Y24" s="93"/>
    </row>
    <row r="25" spans="1:25">
      <c r="A25" s="95" t="s">
        <v>128</v>
      </c>
      <c r="B25" s="100">
        <v>30</v>
      </c>
      <c r="F25" s="9"/>
      <c r="K25" s="80"/>
      <c r="L25" s="85">
        <f t="shared" si="5"/>
        <v>2044</v>
      </c>
      <c r="M25" s="82">
        <f t="shared" si="0"/>
        <v>2106728.2554385671</v>
      </c>
      <c r="N25" s="83">
        <f t="shared" si="1"/>
        <v>340293.72482622002</v>
      </c>
      <c r="O25" s="83">
        <f t="shared" si="6"/>
        <v>1102360.7064011628</v>
      </c>
      <c r="P25" s="83">
        <f t="shared" si="2"/>
        <v>225784.72299782853</v>
      </c>
      <c r="Q25" s="83">
        <f t="shared" si="3"/>
        <v>1004367.5490374044</v>
      </c>
      <c r="R25" s="83">
        <f t="shared" si="3"/>
        <v>114509.00182839148</v>
      </c>
      <c r="S25" s="84">
        <f t="shared" si="4"/>
        <v>18644402.299306095</v>
      </c>
      <c r="T25" s="84">
        <f>S25*[4]NPV!C29</f>
        <v>3000450.5101239411</v>
      </c>
      <c r="U25" s="93"/>
      <c r="V25" s="94"/>
      <c r="W25" s="94"/>
      <c r="X25" s="93"/>
      <c r="Y25" s="93"/>
    </row>
    <row r="26" spans="1:25">
      <c r="A26" s="95"/>
      <c r="B26" s="100"/>
      <c r="F26" s="9"/>
      <c r="K26" s="80"/>
      <c r="L26" s="85">
        <f t="shared" si="5"/>
        <v>2045</v>
      </c>
      <c r="M26" s="82">
        <f t="shared" si="0"/>
        <v>2145140.7012780062</v>
      </c>
      <c r="N26" s="83">
        <f t="shared" si="1"/>
        <v>343496.2162900446</v>
      </c>
      <c r="O26" s="83">
        <f t="shared" si="6"/>
        <v>1112418.0506633562</v>
      </c>
      <c r="P26" s="83">
        <f t="shared" si="2"/>
        <v>227844.66097924166</v>
      </c>
      <c r="Q26" s="83">
        <f t="shared" si="3"/>
        <v>1032722.65061465</v>
      </c>
      <c r="R26" s="83">
        <f t="shared" si="3"/>
        <v>115651.55531080294</v>
      </c>
      <c r="S26" s="84">
        <f t="shared" si="4"/>
        <v>19109105.171011366</v>
      </c>
      <c r="T26" s="84">
        <f>S26*[4]NPV!C30</f>
        <v>2874051.695283202</v>
      </c>
      <c r="U26" s="93"/>
      <c r="V26" s="94"/>
      <c r="W26" s="94"/>
      <c r="X26" s="93"/>
      <c r="Y26" s="93"/>
    </row>
    <row r="27" spans="1:25">
      <c r="A27" s="97" t="s">
        <v>129</v>
      </c>
      <c r="B27" s="98"/>
      <c r="F27" s="9"/>
      <c r="K27" s="80"/>
      <c r="L27" s="85">
        <f t="shared" si="5"/>
        <v>2046</v>
      </c>
      <c r="M27" s="82">
        <f t="shared" si="0"/>
        <v>2185509.9787306935</v>
      </c>
      <c r="N27" s="83">
        <f t="shared" si="1"/>
        <v>346732.98557489243</v>
      </c>
      <c r="O27" s="83">
        <f t="shared" si="6"/>
        <v>1122567.237702037</v>
      </c>
      <c r="P27" s="83">
        <f t="shared" si="2"/>
        <v>229923.41013174257</v>
      </c>
      <c r="Q27" s="83">
        <f t="shared" si="3"/>
        <v>1062942.7410286565</v>
      </c>
      <c r="R27" s="83">
        <f t="shared" si="3"/>
        <v>116809.57544314986</v>
      </c>
      <c r="S27" s="84">
        <f t="shared" si="4"/>
        <v>19602612.139208499</v>
      </c>
      <c r="T27" s="84">
        <f>S27*[4]NPV!C31</f>
        <v>2755398.3506073044</v>
      </c>
      <c r="U27" s="93"/>
      <c r="V27" s="94"/>
      <c r="W27" s="94"/>
      <c r="X27" s="93"/>
      <c r="Y27" s="93"/>
    </row>
    <row r="28" spans="1:25">
      <c r="A28" s="102">
        <v>100</v>
      </c>
      <c r="B28" s="100"/>
      <c r="F28" s="1"/>
      <c r="K28" s="80"/>
      <c r="L28" s="85">
        <f t="shared" si="5"/>
        <v>2047</v>
      </c>
      <c r="M28" s="82">
        <f t="shared" si="0"/>
        <v>2228048.3650648473</v>
      </c>
      <c r="N28" s="83">
        <f t="shared" si="1"/>
        <v>350004.50899965153</v>
      </c>
      <c r="O28" s="83">
        <f t="shared" si="6"/>
        <v>1132809.1068878449</v>
      </c>
      <c r="P28" s="83">
        <f t="shared" si="2"/>
        <v>232021.14237461882</v>
      </c>
      <c r="Q28" s="83">
        <f t="shared" si="3"/>
        <v>1095239.2581770024</v>
      </c>
      <c r="R28" s="83">
        <f t="shared" si="3"/>
        <v>117983.36662503271</v>
      </c>
      <c r="S28" s="84">
        <f t="shared" si="4"/>
        <v>20128146.039728902</v>
      </c>
      <c r="T28" s="84">
        <f>S28*[4]NPV!C32</f>
        <v>2644176.5189057598</v>
      </c>
      <c r="U28" s="93"/>
      <c r="V28" s="94"/>
      <c r="W28" s="94"/>
      <c r="X28" s="93"/>
      <c r="Y28" s="93"/>
    </row>
    <row r="29" spans="1:25">
      <c r="A29" s="97" t="s">
        <v>130</v>
      </c>
      <c r="B29" s="103"/>
      <c r="K29" s="80"/>
      <c r="L29" s="85">
        <f t="shared" si="5"/>
        <v>2048</v>
      </c>
      <c r="M29" s="82">
        <f t="shared" si="0"/>
        <v>2273002.6150904605</v>
      </c>
      <c r="N29" s="83">
        <f t="shared" si="1"/>
        <v>353311.27310277999</v>
      </c>
      <c r="O29" s="83">
        <f t="shared" si="6"/>
        <v>1143144.5052681356</v>
      </c>
      <c r="P29" s="83">
        <f t="shared" si="2"/>
        <v>234138.03119949764</v>
      </c>
      <c r="Q29" s="83">
        <f t="shared" si="3"/>
        <v>1129858.1098223249</v>
      </c>
      <c r="R29" s="83">
        <f t="shared" si="3"/>
        <v>119173.24190328235</v>
      </c>
      <c r="S29" s="84">
        <f t="shared" si="4"/>
        <v>20689453.905446168</v>
      </c>
      <c r="T29" s="84">
        <f>S29*[4]NPV!C33</f>
        <v>2540106.4626740483</v>
      </c>
      <c r="U29" s="93"/>
      <c r="V29" s="94"/>
      <c r="W29" s="94"/>
      <c r="X29" s="93"/>
      <c r="Y29" s="93"/>
    </row>
    <row r="30" spans="1:25">
      <c r="A30" s="104" t="s">
        <v>131</v>
      </c>
      <c r="B30" s="100"/>
      <c r="K30" s="80"/>
      <c r="L30" s="85">
        <f t="shared" si="5"/>
        <v>2049</v>
      </c>
      <c r="M30" s="82">
        <f t="shared" si="0"/>
        <v>2320661.3940209202</v>
      </c>
      <c r="N30" s="83">
        <f t="shared" si="1"/>
        <v>356653.77498419711</v>
      </c>
      <c r="O30" s="83">
        <f t="shared" si="6"/>
        <v>1153574.2876372433</v>
      </c>
      <c r="P30" s="83">
        <f t="shared" si="2"/>
        <v>236274.25168473661</v>
      </c>
      <c r="Q30" s="83">
        <f t="shared" si="3"/>
        <v>1167087.1063836769</v>
      </c>
      <c r="R30" s="83">
        <f t="shared" si="3"/>
        <v>120379.5232994605</v>
      </c>
      <c r="S30" s="84">
        <f t="shared" si="4"/>
        <v>21290919.954365976</v>
      </c>
      <c r="T30" s="84">
        <f>S30*[4]NPV!C34</f>
        <v>2442944.1662801891</v>
      </c>
      <c r="U30" s="93"/>
      <c r="V30" s="94"/>
      <c r="W30" s="94"/>
      <c r="X30" s="93"/>
      <c r="Y30" s="93"/>
    </row>
    <row r="31" spans="1:25">
      <c r="A31" s="97" t="s">
        <v>132</v>
      </c>
      <c r="B31" s="103"/>
      <c r="K31" s="80"/>
      <c r="L31" s="85">
        <f t="shared" si="5"/>
        <v>2050</v>
      </c>
      <c r="M31" s="82">
        <f t="shared" si="0"/>
        <v>2371364.7336872276</v>
      </c>
      <c r="N31" s="83">
        <f t="shared" si="1"/>
        <v>360032.52266270132</v>
      </c>
      <c r="O31" s="83">
        <f t="shared" si="6"/>
        <v>1164099.3166073782</v>
      </c>
      <c r="P31" s="83">
        <f t="shared" si="2"/>
        <v>238429.98050994493</v>
      </c>
      <c r="Q31" s="83">
        <f t="shared" si="3"/>
        <v>1207265.4170798494</v>
      </c>
      <c r="R31" s="83">
        <f t="shared" si="3"/>
        <v>121602.54215275639</v>
      </c>
      <c r="S31" s="84">
        <f t="shared" si="4"/>
        <v>21937709.333120022</v>
      </c>
      <c r="T31" s="84">
        <f>S31*[4]NPV!C35</f>
        <v>2352483.6532818163</v>
      </c>
      <c r="U31" s="93"/>
      <c r="V31" s="94"/>
      <c r="W31" s="94"/>
      <c r="X31" s="93"/>
      <c r="Y31" s="93"/>
    </row>
    <row r="32" spans="1:25">
      <c r="A32" s="104">
        <v>60.5</v>
      </c>
      <c r="B32" s="103"/>
      <c r="K32" s="80"/>
      <c r="L32" s="85">
        <f t="shared" si="5"/>
        <v>2051</v>
      </c>
      <c r="M32" s="82">
        <f t="shared" si="0"/>
        <v>2425516.1872195788</v>
      </c>
      <c r="N32" s="83">
        <f t="shared" si="1"/>
        <v>363448.0354497782</v>
      </c>
      <c r="O32" s="83">
        <f t="shared" si="6"/>
        <v>1174720.4626801778</v>
      </c>
      <c r="P32" s="83">
        <f t="shared" si="2"/>
        <v>240605.39597063887</v>
      </c>
      <c r="Q32" s="83">
        <f t="shared" si="3"/>
        <v>1250795.724539401</v>
      </c>
      <c r="R32" s="83">
        <f t="shared" si="3"/>
        <v>122842.63947913932</v>
      </c>
      <c r="S32" s="84">
        <f t="shared" si="4"/>
        <v>22635952.877633505</v>
      </c>
      <c r="T32" s="84">
        <f>S32*[4]NPV!C36</f>
        <v>2268560.3640049645</v>
      </c>
      <c r="U32" s="93"/>
      <c r="V32" s="94"/>
      <c r="W32" s="94"/>
      <c r="X32" s="93"/>
      <c r="Y32" s="93"/>
    </row>
    <row r="33" spans="1:25">
      <c r="A33" s="97" t="s">
        <v>133</v>
      </c>
      <c r="B33" s="103"/>
      <c r="K33" s="80"/>
      <c r="L33" s="85">
        <f t="shared" si="5"/>
        <v>2052</v>
      </c>
      <c r="M33" s="82">
        <f t="shared" si="0"/>
        <v>2483598.6279782257</v>
      </c>
      <c r="N33" s="83">
        <f t="shared" si="1"/>
        <v>366900.84434071783</v>
      </c>
      <c r="O33" s="83">
        <f t="shared" si="6"/>
        <v>1185438.6043189124</v>
      </c>
      <c r="P33" s="83">
        <f t="shared" si="2"/>
        <v>242800.67799303023</v>
      </c>
      <c r="Q33" s="83">
        <f t="shared" si="3"/>
        <v>1298160.0236593133</v>
      </c>
      <c r="R33" s="83">
        <f t="shared" si="3"/>
        <v>124100.1663476876</v>
      </c>
      <c r="S33" s="84">
        <f t="shared" si="4"/>
        <v>23392987.266878344</v>
      </c>
      <c r="T33" s="84">
        <f>S33*[4]NPV!C37</f>
        <v>2191055.9386997409</v>
      </c>
      <c r="U33" s="93"/>
      <c r="V33" s="94"/>
      <c r="W33" s="94"/>
      <c r="X33" s="93"/>
      <c r="Y33" s="93"/>
    </row>
    <row r="34" spans="1:25">
      <c r="A34" s="105">
        <f>A28*A32</f>
        <v>6050</v>
      </c>
      <c r="B34" s="103"/>
      <c r="K34" s="80"/>
      <c r="L34" s="85">
        <f t="shared" si="5"/>
        <v>2053</v>
      </c>
      <c r="M34" s="82">
        <f t="shared" si="0"/>
        <v>2546195.0377720231</v>
      </c>
      <c r="N34" s="83">
        <f t="shared" si="1"/>
        <v>370391.49242401839</v>
      </c>
      <c r="O34" s="83">
        <f t="shared" si="6"/>
        <v>1196254.6280213525</v>
      </c>
      <c r="P34" s="83">
        <f t="shared" si="2"/>
        <v>245016.00814895175</v>
      </c>
      <c r="Q34" s="83">
        <f t="shared" si="3"/>
        <v>1349940.4097506707</v>
      </c>
      <c r="R34" s="83">
        <f t="shared" si="3"/>
        <v>125375.48427506664</v>
      </c>
      <c r="S34" s="84">
        <f t="shared" si="4"/>
        <v>24217671.014324658</v>
      </c>
      <c r="T34" s="84">
        <f>S34*[4]NPV!C38</f>
        <v>2119904.8992581489</v>
      </c>
      <c r="U34" s="93"/>
      <c r="V34" s="94"/>
      <c r="W34" s="94"/>
      <c r="X34" s="93"/>
      <c r="Y34" s="93"/>
    </row>
    <row r="35" spans="1:25">
      <c r="A35" s="97" t="s">
        <v>134</v>
      </c>
      <c r="B35" s="103"/>
      <c r="K35" s="80"/>
      <c r="L35" s="85">
        <f t="shared" si="5"/>
        <v>2054</v>
      </c>
      <c r="M35" s="82">
        <f t="shared" si="0"/>
        <v>2614016.228925419</v>
      </c>
      <c r="N35" s="83">
        <f t="shared" si="1"/>
        <v>373920.53531012189</v>
      </c>
      <c r="O35" s="83">
        <f t="shared" si="6"/>
        <v>1207169.428393302</v>
      </c>
      <c r="P35" s="83">
        <f t="shared" si="2"/>
        <v>247251.56967091729</v>
      </c>
      <c r="Q35" s="83">
        <f t="shared" si="3"/>
        <v>1406846.800532117</v>
      </c>
      <c r="R35" s="83">
        <f t="shared" si="3"/>
        <v>126668.9656392046</v>
      </c>
      <c r="S35" s="84">
        <f t="shared" si="4"/>
        <v>25120805.854444712</v>
      </c>
      <c r="T35" s="84">
        <f>S35*[4]NPV!C39</f>
        <v>2055103.9441155691</v>
      </c>
      <c r="U35" s="93"/>
      <c r="V35" s="94"/>
      <c r="W35" s="94"/>
      <c r="X35" s="93"/>
      <c r="Y35" s="93"/>
    </row>
    <row r="36" spans="1:25">
      <c r="A36" s="106">
        <f>A34/5280</f>
        <v>1.1458333333333333</v>
      </c>
      <c r="B36" s="107"/>
      <c r="K36" s="80"/>
      <c r="L36" s="108">
        <f t="shared" si="5"/>
        <v>2055</v>
      </c>
      <c r="M36" s="82">
        <f t="shared" si="0"/>
        <v>2687938.3627659278</v>
      </c>
      <c r="N36" s="83">
        <f t="shared" si="1"/>
        <v>377488.54158059141</v>
      </c>
      <c r="O36" s="83">
        <f t="shared" si="6"/>
        <v>1218183.9082228069</v>
      </c>
      <c r="P36" s="83">
        <f t="shared" si="2"/>
        <v>249507.54746732191</v>
      </c>
      <c r="Q36" s="83">
        <f>M36-O36</f>
        <v>1469754.4545431209</v>
      </c>
      <c r="R36" s="83">
        <f>N36-P36</f>
        <v>127980.99411326949</v>
      </c>
      <c r="S36" s="84">
        <f t="shared" si="4"/>
        <v>26115707.035396889</v>
      </c>
      <c r="T36" s="84">
        <f>S36*[4]NPV!C40</f>
        <v>1996724.9102361754</v>
      </c>
      <c r="U36" s="93"/>
      <c r="V36" s="94"/>
      <c r="W36" s="94"/>
      <c r="X36" s="93"/>
      <c r="Y36" s="93"/>
    </row>
    <row r="37" spans="1:25">
      <c r="L37" s="109"/>
      <c r="M37" s="109"/>
      <c r="N37" s="109"/>
      <c r="O37" s="109"/>
      <c r="P37" s="109"/>
      <c r="Q37" s="651" t="s">
        <v>51</v>
      </c>
      <c r="R37" s="652"/>
      <c r="S37" s="110">
        <f>SUM(S6:S36)</f>
        <v>531543889.04595286</v>
      </c>
      <c r="T37" s="110">
        <f>SUM(T6:T36)</f>
        <v>114879596.58711721</v>
      </c>
      <c r="U37" s="93"/>
      <c r="V37" s="94"/>
      <c r="W37" s="94"/>
      <c r="X37" s="93"/>
      <c r="Y37" s="93"/>
    </row>
    <row r="38" spans="1:25">
      <c r="A38" s="649" t="s">
        <v>135</v>
      </c>
      <c r="B38" s="653"/>
      <c r="C38" s="653"/>
      <c r="D38" s="653"/>
      <c r="E38" s="650"/>
      <c r="L38" s="80"/>
      <c r="M38" s="111"/>
      <c r="N38" s="112"/>
      <c r="O38" s="112"/>
      <c r="P38" s="112"/>
      <c r="Q38" s="112"/>
      <c r="R38" s="112"/>
      <c r="S38" s="112"/>
      <c r="T38" s="113"/>
      <c r="U38" s="113"/>
      <c r="V38" s="94"/>
      <c r="W38" s="94"/>
      <c r="X38" s="93"/>
      <c r="Y38" s="93"/>
    </row>
    <row r="39" spans="1:25">
      <c r="A39" s="114"/>
      <c r="B39" s="115"/>
      <c r="C39" s="116"/>
      <c r="D39" s="117"/>
      <c r="E39" s="96"/>
      <c r="L39" s="8" t="s">
        <v>136</v>
      </c>
      <c r="M39"/>
      <c r="U39" s="113"/>
      <c r="V39" s="94"/>
      <c r="W39" s="94"/>
      <c r="X39" s="93"/>
      <c r="Y39" s="93"/>
    </row>
    <row r="40" spans="1:25">
      <c r="A40" s="97" t="s">
        <v>137</v>
      </c>
      <c r="B40" s="116" t="s">
        <v>138</v>
      </c>
      <c r="C40" s="116"/>
      <c r="D40" s="116" t="s">
        <v>139</v>
      </c>
      <c r="E40" s="96"/>
      <c r="L40" s="8"/>
      <c r="M40"/>
      <c r="U40" s="113"/>
      <c r="V40" s="94"/>
      <c r="W40" s="94"/>
      <c r="X40" s="93"/>
      <c r="Y40" s="93"/>
    </row>
    <row r="41" spans="1:25">
      <c r="A41" s="105">
        <f>A34</f>
        <v>6050</v>
      </c>
      <c r="B41" s="117" t="s">
        <v>140</v>
      </c>
      <c r="C41" s="116"/>
      <c r="D41" s="117">
        <f>B46</f>
        <v>2640</v>
      </c>
      <c r="E41" s="118">
        <f>A41</f>
        <v>6050</v>
      </c>
      <c r="L41" s="2"/>
      <c r="M41" s="643" t="s">
        <v>105</v>
      </c>
      <c r="N41" s="645"/>
      <c r="O41" s="643" t="s">
        <v>106</v>
      </c>
      <c r="P41" s="645"/>
      <c r="Q41" s="654" t="s">
        <v>141</v>
      </c>
      <c r="R41" s="655"/>
      <c r="S41" s="638" t="s">
        <v>142</v>
      </c>
      <c r="T41" s="638" t="s">
        <v>111</v>
      </c>
      <c r="U41" s="113"/>
      <c r="V41" s="94"/>
      <c r="W41" s="94"/>
      <c r="X41" s="93"/>
      <c r="Y41" s="93"/>
    </row>
    <row r="42" spans="1:25" s="2" customFormat="1" ht="13.35" customHeight="1">
      <c r="A42" s="95"/>
      <c r="B42" s="117">
        <f>B25</f>
        <v>30</v>
      </c>
      <c r="C42" s="116"/>
      <c r="D42" s="117">
        <v>1</v>
      </c>
      <c r="E42" s="119" t="s">
        <v>143</v>
      </c>
      <c r="L42" s="633" t="s">
        <v>76</v>
      </c>
      <c r="M42" s="636" t="s">
        <v>144</v>
      </c>
      <c r="N42" s="637"/>
      <c r="O42" s="636" t="s">
        <v>144</v>
      </c>
      <c r="P42" s="637"/>
      <c r="Q42" s="656"/>
      <c r="R42" s="657"/>
      <c r="S42" s="639"/>
      <c r="T42" s="639"/>
      <c r="U42" s="120"/>
      <c r="V42" s="94"/>
      <c r="W42" s="94"/>
      <c r="X42" s="121"/>
      <c r="Y42" s="121"/>
    </row>
    <row r="43" spans="1:25" ht="13.35" customHeight="1" thickBot="1">
      <c r="A43" s="95"/>
      <c r="B43" s="117" t="s">
        <v>145</v>
      </c>
      <c r="C43" s="116"/>
      <c r="D43" s="117"/>
      <c r="E43" s="96"/>
      <c r="L43" s="635"/>
      <c r="M43" s="77" t="s">
        <v>113</v>
      </c>
      <c r="N43" s="77" t="s">
        <v>114</v>
      </c>
      <c r="O43" s="77" t="s">
        <v>113</v>
      </c>
      <c r="P43" s="77" t="s">
        <v>114</v>
      </c>
      <c r="Q43" s="122" t="s">
        <v>113</v>
      </c>
      <c r="R43" s="570" t="s">
        <v>114</v>
      </c>
      <c r="S43" s="640"/>
      <c r="T43" s="640"/>
      <c r="U43" s="113"/>
      <c r="V43" s="94"/>
      <c r="W43" s="94"/>
      <c r="X43" s="93"/>
      <c r="Y43" s="93"/>
    </row>
    <row r="44" spans="1:25" ht="13.5" thickTop="1">
      <c r="A44" s="95"/>
      <c r="B44" s="117">
        <f>5280*B42</f>
        <v>158400</v>
      </c>
      <c r="C44" s="116"/>
      <c r="D44" s="117" t="s">
        <v>146</v>
      </c>
      <c r="E44" s="96">
        <f>E41*D42</f>
        <v>6050</v>
      </c>
      <c r="L44" s="81">
        <f>L6</f>
        <v>2025</v>
      </c>
      <c r="M44" s="83">
        <f>E96</f>
        <v>36704022.842025556</v>
      </c>
      <c r="N44" s="83">
        <f>D96</f>
        <v>7517691.425475114</v>
      </c>
      <c r="O44" s="83">
        <f>Q145</f>
        <v>34828953.495924428</v>
      </c>
      <c r="P44" s="83">
        <f>P145</f>
        <v>7133641.0774784982</v>
      </c>
      <c r="Q44" s="123">
        <f>M44-O44</f>
        <v>1875069.3461011276</v>
      </c>
      <c r="R44" s="83">
        <f>N44-P44</f>
        <v>384050.3479966158</v>
      </c>
      <c r="S44" s="84">
        <f>Q44*$A$15+R44*$A$14</f>
        <v>1137466.7659782134</v>
      </c>
      <c r="T44" s="84">
        <f>S44*[4]NPV!C10</f>
        <v>662016.01393947005</v>
      </c>
      <c r="U44" s="113"/>
      <c r="V44" s="94"/>
      <c r="W44" s="94"/>
      <c r="X44" s="93"/>
      <c r="Y44" s="93"/>
    </row>
    <row r="45" spans="1:25">
      <c r="A45" s="114"/>
      <c r="B45" s="117" t="s">
        <v>147</v>
      </c>
      <c r="C45" s="116"/>
      <c r="D45" s="117" t="s">
        <v>143</v>
      </c>
      <c r="E45" s="124">
        <f>E44/D41</f>
        <v>2.2916666666666665</v>
      </c>
      <c r="L45" s="85">
        <f>L44+1</f>
        <v>2026</v>
      </c>
      <c r="M45" s="83">
        <f t="shared" ref="M45:M74" si="7">E97</f>
        <v>37292264.895283282</v>
      </c>
      <c r="N45" s="83">
        <f t="shared" ref="N45:N74" si="8">D97</f>
        <v>7638174.737588143</v>
      </c>
      <c r="O45" s="83">
        <f t="shared" ref="O45:O74" si="9">Q146</f>
        <v>35387703.453212716</v>
      </c>
      <c r="P45" s="83">
        <f t="shared" ref="P45:P74" si="10">P146</f>
        <v>7248083.8398146536</v>
      </c>
      <c r="Q45" s="123">
        <f t="shared" ref="Q45:R74" si="11">M45-O45</f>
        <v>1904561.4420705661</v>
      </c>
      <c r="R45" s="83">
        <f t="shared" si="11"/>
        <v>390090.89777348936</v>
      </c>
      <c r="S45" s="84">
        <f t="shared" ref="S45:S74" si="12">Q45*$A$15+R45*$A$14</f>
        <v>1155357.4531114819</v>
      </c>
      <c r="T45" s="84">
        <f>S45*[4]NPV!C11</f>
        <v>628437.90349341766</v>
      </c>
      <c r="U45" s="113"/>
      <c r="V45" s="94"/>
      <c r="W45" s="94"/>
      <c r="X45" s="93"/>
      <c r="Y45" s="93"/>
    </row>
    <row r="46" spans="1:25">
      <c r="A46" s="114"/>
      <c r="B46" s="117">
        <f>B44/60</f>
        <v>2640</v>
      </c>
      <c r="C46" s="116"/>
      <c r="D46" s="117"/>
      <c r="E46" s="96"/>
      <c r="L46" s="85">
        <f t="shared" ref="L46:L74" si="13">L45+1</f>
        <v>2027</v>
      </c>
      <c r="M46" s="83">
        <f t="shared" si="7"/>
        <v>37889937.76140625</v>
      </c>
      <c r="N46" s="83">
        <f t="shared" si="8"/>
        <v>7760589.6619747747</v>
      </c>
      <c r="O46" s="83">
        <f t="shared" si="9"/>
        <v>35955423.482582681</v>
      </c>
      <c r="P46" s="83">
        <f t="shared" si="10"/>
        <v>7364363.8458301881</v>
      </c>
      <c r="Q46" s="123">
        <f t="shared" si="11"/>
        <v>1934514.2788235694</v>
      </c>
      <c r="R46" s="83">
        <f t="shared" si="11"/>
        <v>396225.81614458654</v>
      </c>
      <c r="S46" s="84">
        <f t="shared" si="12"/>
        <v>1173527.6378164664</v>
      </c>
      <c r="T46" s="84">
        <f>S46*[4]NPV!C12</f>
        <v>596561.94398452819</v>
      </c>
      <c r="U46" s="113"/>
      <c r="V46" s="94"/>
      <c r="W46" s="94"/>
      <c r="X46" s="93"/>
      <c r="Y46" s="93"/>
    </row>
    <row r="47" spans="1:25">
      <c r="A47" s="114"/>
      <c r="B47" s="115"/>
      <c r="C47" s="116"/>
      <c r="D47" s="117"/>
      <c r="E47" s="96"/>
      <c r="L47" s="85">
        <f t="shared" si="13"/>
        <v>2028</v>
      </c>
      <c r="M47" s="83">
        <f t="shared" si="7"/>
        <v>38497192.681231558</v>
      </c>
      <c r="N47" s="83">
        <f t="shared" si="8"/>
        <v>7884967.1756739337</v>
      </c>
      <c r="O47" s="83">
        <f t="shared" si="9"/>
        <v>36532257.67925743</v>
      </c>
      <c r="P47" s="83">
        <f t="shared" si="10"/>
        <v>7482510.6090045348</v>
      </c>
      <c r="Q47" s="123">
        <f t="shared" si="11"/>
        <v>1964935.0019741282</v>
      </c>
      <c r="R47" s="83">
        <f t="shared" si="11"/>
        <v>402456.56666939892</v>
      </c>
      <c r="S47" s="84">
        <f t="shared" si="12"/>
        <v>1191981.6548120156</v>
      </c>
      <c r="T47" s="84">
        <f>S47*[4]NPV!C13</f>
        <v>566301.89762734354</v>
      </c>
      <c r="U47" s="113"/>
      <c r="V47" s="94"/>
      <c r="W47" s="94"/>
      <c r="X47" s="93"/>
      <c r="Y47" s="93"/>
    </row>
    <row r="48" spans="1:25">
      <c r="A48" s="114"/>
      <c r="B48" s="115"/>
      <c r="C48" s="116"/>
      <c r="D48" s="117" t="s">
        <v>148</v>
      </c>
      <c r="E48" s="96"/>
      <c r="L48" s="85">
        <f t="shared" si="13"/>
        <v>2029</v>
      </c>
      <c r="M48" s="83">
        <f t="shared" si="7"/>
        <v>39114183.321630612</v>
      </c>
      <c r="N48" s="83">
        <f t="shared" si="8"/>
        <v>8011338.7526231371</v>
      </c>
      <c r="O48" s="83">
        <f t="shared" si="9"/>
        <v>37118352.454577565</v>
      </c>
      <c r="P48" s="83">
        <f t="shared" si="10"/>
        <v>7602554.1172026359</v>
      </c>
      <c r="Q48" s="123">
        <f t="shared" si="11"/>
        <v>1995830.8670530468</v>
      </c>
      <c r="R48" s="83">
        <f t="shared" si="11"/>
        <v>408784.63542050123</v>
      </c>
      <c r="S48" s="84">
        <f t="shared" si="12"/>
        <v>1210723.9054954303</v>
      </c>
      <c r="T48" s="84">
        <f>S48*[4]NPV!C14</f>
        <v>537575.89337862085</v>
      </c>
      <c r="U48" s="113"/>
      <c r="V48" s="37"/>
      <c r="W48" s="37"/>
      <c r="X48" s="93"/>
      <c r="Y48" s="93"/>
    </row>
    <row r="49" spans="1:27">
      <c r="A49" s="114"/>
      <c r="B49" s="115"/>
      <c r="C49" s="116"/>
      <c r="D49" s="125">
        <f>E45+0.5</f>
        <v>2.7916666666666665</v>
      </c>
      <c r="E49" s="96"/>
      <c r="L49" s="85">
        <f t="shared" si="13"/>
        <v>2030</v>
      </c>
      <c r="M49" s="83">
        <f t="shared" si="7"/>
        <v>39741065.814433053</v>
      </c>
      <c r="N49" s="83">
        <f t="shared" si="8"/>
        <v>8139736.3716308661</v>
      </c>
      <c r="O49" s="83">
        <f t="shared" si="9"/>
        <v>37713856.573250465</v>
      </c>
      <c r="P49" s="83">
        <f t="shared" si="10"/>
        <v>7724524.8403043132</v>
      </c>
      <c r="Q49" s="123">
        <f t="shared" si="11"/>
        <v>2027209.241182588</v>
      </c>
      <c r="R49" s="83">
        <f t="shared" si="11"/>
        <v>415211.53132655285</v>
      </c>
      <c r="S49" s="84">
        <f t="shared" si="12"/>
        <v>1229758.8589583519</v>
      </c>
      <c r="T49" s="84">
        <f>S49*[4]NPV!C15</f>
        <v>510306.20594369044</v>
      </c>
      <c r="U49" s="126"/>
      <c r="V49" s="126"/>
      <c r="W49" s="126"/>
      <c r="X49" s="113"/>
      <c r="Y49" s="113"/>
      <c r="AA49" s="127"/>
    </row>
    <row r="50" spans="1:27">
      <c r="A50" s="128"/>
      <c r="B50" s="129"/>
      <c r="C50" s="130"/>
      <c r="D50" s="131" t="s">
        <v>149</v>
      </c>
      <c r="E50" s="132"/>
      <c r="L50" s="85">
        <f t="shared" si="13"/>
        <v>2031</v>
      </c>
      <c r="M50" s="83">
        <f t="shared" si="7"/>
        <v>40377998.795975417</v>
      </c>
      <c r="N50" s="83">
        <f t="shared" si="8"/>
        <v>8270192.5244768932</v>
      </c>
      <c r="O50" s="83">
        <f t="shared" si="9"/>
        <v>38318921.191198945</v>
      </c>
      <c r="P50" s="83">
        <f t="shared" si="10"/>
        <v>7848453.7379564112</v>
      </c>
      <c r="Q50" s="123">
        <f t="shared" si="11"/>
        <v>2059077.6047764719</v>
      </c>
      <c r="R50" s="83">
        <f t="shared" si="11"/>
        <v>421738.78652048204</v>
      </c>
      <c r="S50" s="84">
        <f t="shared" si="12"/>
        <v>1249091.0530180163</v>
      </c>
      <c r="T50" s="84">
        <f>S50*[4]NPV!C16</f>
        <v>484419.04596087214</v>
      </c>
      <c r="AA50" s="127"/>
    </row>
    <row r="51" spans="1:27">
      <c r="A51" s="133"/>
      <c r="B51" s="133"/>
      <c r="C51" s="134"/>
      <c r="D51" s="135"/>
      <c r="E51" s="135"/>
      <c r="L51" s="85">
        <f t="shared" si="13"/>
        <v>2032</v>
      </c>
      <c r="M51" s="83">
        <f t="shared" si="7"/>
        <v>41025143.447284445</v>
      </c>
      <c r="N51" s="83">
        <f t="shared" si="8"/>
        <v>8402740.224142598</v>
      </c>
      <c r="O51" s="83">
        <f t="shared" si="9"/>
        <v>38933699.894019008</v>
      </c>
      <c r="P51" s="83">
        <f t="shared" si="10"/>
        <v>7974372.2674496761</v>
      </c>
      <c r="Q51" s="123">
        <f t="shared" si="11"/>
        <v>2091443.5532654375</v>
      </c>
      <c r="R51" s="83">
        <f t="shared" si="11"/>
        <v>428367.95669292193</v>
      </c>
      <c r="S51" s="84">
        <f t="shared" si="12"/>
        <v>1268725.0952640343</v>
      </c>
      <c r="T51" s="84">
        <f>S51*[4]NPV!C17</f>
        <v>459844.36079882283</v>
      </c>
    </row>
    <row r="52" spans="1:27">
      <c r="A52" s="649" t="s">
        <v>150</v>
      </c>
      <c r="B52" s="653"/>
      <c r="C52" s="653"/>
      <c r="D52" s="653"/>
      <c r="E52" s="650"/>
      <c r="L52" s="85">
        <f t="shared" si="13"/>
        <v>2033</v>
      </c>
      <c r="M52" s="83">
        <f t="shared" si="7"/>
        <v>41682663.53490518</v>
      </c>
      <c r="N52" s="83">
        <f t="shared" si="8"/>
        <v>8537413.0131733511</v>
      </c>
      <c r="O52" s="83">
        <f t="shared" si="9"/>
        <v>39558348.736056387</v>
      </c>
      <c r="P52" s="83">
        <f t="shared" si="10"/>
        <v>8102312.3917223923</v>
      </c>
      <c r="Q52" s="123">
        <f t="shared" si="11"/>
        <v>2124314.7988487929</v>
      </c>
      <c r="R52" s="83">
        <f t="shared" si="11"/>
        <v>435100.62145095877</v>
      </c>
      <c r="S52" s="84">
        <f t="shared" si="12"/>
        <v>1288665.6641209254</v>
      </c>
      <c r="T52" s="84">
        <f>S52*[4]NPV!C18</f>
        <v>436515.64543028735</v>
      </c>
    </row>
    <row r="53" spans="1:27" ht="13.35" customHeight="1">
      <c r="A53" s="95"/>
      <c r="B53" s="117"/>
      <c r="C53" s="116"/>
      <c r="D53" s="117"/>
      <c r="E53" s="96"/>
      <c r="L53" s="85">
        <f t="shared" si="13"/>
        <v>2034</v>
      </c>
      <c r="M53" s="83">
        <f t="shared" si="7"/>
        <v>42350725.452384248</v>
      </c>
      <c r="N53" s="83">
        <f t="shared" si="8"/>
        <v>8674244.9721750878</v>
      </c>
      <c r="O53" s="83">
        <f t="shared" si="9"/>
        <v>40193026.280111976</v>
      </c>
      <c r="P53" s="83">
        <f t="shared" si="10"/>
        <v>8232306.5874928143</v>
      </c>
      <c r="Q53" s="123">
        <f t="shared" si="11"/>
        <v>2157699.1722722724</v>
      </c>
      <c r="R53" s="83">
        <f t="shared" si="11"/>
        <v>441938.38468227349</v>
      </c>
      <c r="S53" s="84">
        <f t="shared" si="12"/>
        <v>1308917.5099266141</v>
      </c>
      <c r="T53" s="84">
        <f>S53*[4]NPV!C19</f>
        <v>414369.76287281874</v>
      </c>
      <c r="U53" s="136"/>
      <c r="V53" s="92"/>
      <c r="W53" s="92"/>
      <c r="X53" s="92"/>
      <c r="Y53" s="92"/>
    </row>
    <row r="54" spans="1:27" ht="13.35" customHeight="1">
      <c r="A54" s="97" t="s">
        <v>137</v>
      </c>
      <c r="B54" s="116" t="s">
        <v>138</v>
      </c>
      <c r="C54" s="116"/>
      <c r="D54" s="116" t="s">
        <v>139</v>
      </c>
      <c r="E54" s="96"/>
      <c r="L54" s="85">
        <f t="shared" si="13"/>
        <v>2035</v>
      </c>
      <c r="M54" s="83">
        <f t="shared" si="7"/>
        <v>43029498.262418926</v>
      </c>
      <c r="N54" s="83">
        <f t="shared" si="8"/>
        <v>8813270.728447251</v>
      </c>
      <c r="O54" s="83">
        <f t="shared" si="9"/>
        <v>40837893.637786135</v>
      </c>
      <c r="P54" s="83">
        <f t="shared" si="10"/>
        <v>8364387.8535224628</v>
      </c>
      <c r="Q54" s="123">
        <f t="shared" si="11"/>
        <v>2191604.6246327907</v>
      </c>
      <c r="R54" s="83">
        <f t="shared" si="11"/>
        <v>448882.87492478825</v>
      </c>
      <c r="S54" s="84">
        <f t="shared" si="12"/>
        <v>1329485.456027241</v>
      </c>
      <c r="T54" s="84">
        <f>S54*[4]NPV!C20</f>
        <v>393346.7737128255</v>
      </c>
      <c r="U54" s="136"/>
      <c r="V54" s="92"/>
      <c r="W54" s="92"/>
      <c r="X54" s="92"/>
      <c r="Y54" s="92"/>
    </row>
    <row r="55" spans="1:27" ht="13.35" customHeight="1">
      <c r="A55" s="105">
        <f>A34</f>
        <v>6050</v>
      </c>
      <c r="B55" s="117" t="s">
        <v>140</v>
      </c>
      <c r="C55" s="116"/>
      <c r="D55" s="117">
        <f>B60</f>
        <v>5280</v>
      </c>
      <c r="E55" s="96">
        <f>A55</f>
        <v>6050</v>
      </c>
      <c r="L55" s="85">
        <f t="shared" si="13"/>
        <v>2036</v>
      </c>
      <c r="M55" s="83">
        <f t="shared" si="7"/>
        <v>43719153.739682466</v>
      </c>
      <c r="N55" s="83">
        <f t="shared" si="8"/>
        <v>8954525.4647542406</v>
      </c>
      <c r="O55" s="83">
        <f t="shared" si="9"/>
        <v>41493114.510472298</v>
      </c>
      <c r="P55" s="83">
        <f t="shared" si="10"/>
        <v>8498589.7190124001</v>
      </c>
      <c r="Q55" s="123">
        <f t="shared" si="11"/>
        <v>2226039.2292101681</v>
      </c>
      <c r="R55" s="83">
        <f t="shared" si="11"/>
        <v>455935.74574184045</v>
      </c>
      <c r="S55" s="84">
        <f t="shared" si="12"/>
        <v>1350374.3998883357</v>
      </c>
      <c r="T55" s="84">
        <f>S55*[4]NPV!C21</f>
        <v>373389.77425363648</v>
      </c>
      <c r="U55" s="136"/>
      <c r="V55" s="92"/>
      <c r="W55" s="92"/>
      <c r="X55" s="92"/>
      <c r="Y55" s="92"/>
    </row>
    <row r="56" spans="1:27">
      <c r="A56" s="95"/>
      <c r="B56" s="117">
        <v>60</v>
      </c>
      <c r="C56" s="116"/>
      <c r="D56" s="117">
        <v>1</v>
      </c>
      <c r="E56" s="96" t="s">
        <v>143</v>
      </c>
      <c r="L56" s="85">
        <f t="shared" si="13"/>
        <v>2037</v>
      </c>
      <c r="M56" s="83">
        <f t="shared" si="7"/>
        <v>44419866.414336793</v>
      </c>
      <c r="N56" s="83">
        <f t="shared" si="8"/>
        <v>9098044.9282376561</v>
      </c>
      <c r="O56" s="83">
        <f t="shared" si="9"/>
        <v>42158855.231010206</v>
      </c>
      <c r="P56" s="83">
        <f t="shared" si="10"/>
        <v>8634946.2521346211</v>
      </c>
      <c r="Q56" s="123">
        <f t="shared" si="11"/>
        <v>2261011.1833265871</v>
      </c>
      <c r="R56" s="83">
        <f t="shared" si="11"/>
        <v>463098.67610303499</v>
      </c>
      <c r="S56" s="84">
        <f t="shared" si="12"/>
        <v>1371589.3142228143</v>
      </c>
      <c r="T56" s="84">
        <f>S56*[4]NPV!C22</f>
        <v>354444.74285161769</v>
      </c>
      <c r="U56" s="113"/>
      <c r="V56" s="137"/>
      <c r="W56" s="137"/>
      <c r="X56" s="121"/>
      <c r="Y56" s="121"/>
    </row>
    <row r="57" spans="1:27">
      <c r="A57" s="95"/>
      <c r="B57" s="117" t="s">
        <v>145</v>
      </c>
      <c r="C57" s="116"/>
      <c r="D57" s="117"/>
      <c r="E57" s="96"/>
      <c r="L57" s="85">
        <f t="shared" si="13"/>
        <v>2038</v>
      </c>
      <c r="M57" s="83">
        <f t="shared" si="7"/>
        <v>45131813.616243377</v>
      </c>
      <c r="N57" s="83">
        <f t="shared" si="8"/>
        <v>9243865.4394715354</v>
      </c>
      <c r="O57" s="83">
        <f t="shared" si="9"/>
        <v>42835284.806009486</v>
      </c>
      <c r="P57" s="83">
        <f t="shared" si="10"/>
        <v>8773492.0687007383</v>
      </c>
      <c r="Q57" s="123">
        <f t="shared" si="11"/>
        <v>2296528.810233891</v>
      </c>
      <c r="R57" s="83">
        <f t="shared" si="11"/>
        <v>470373.37077079713</v>
      </c>
      <c r="S57" s="84">
        <f t="shared" si="12"/>
        <v>1393135.2481358605</v>
      </c>
      <c r="T57" s="84">
        <f>S57*[4]NPV!C23</f>
        <v>336460.39402628096</v>
      </c>
      <c r="U57" s="113"/>
      <c r="V57" s="94"/>
      <c r="W57" s="94"/>
      <c r="X57" s="121"/>
      <c r="Y57" s="121"/>
    </row>
    <row r="58" spans="1:27">
      <c r="A58" s="95"/>
      <c r="B58" s="117">
        <f>5280*B56</f>
        <v>316800</v>
      </c>
      <c r="C58" s="116"/>
      <c r="D58" s="117" t="s">
        <v>151</v>
      </c>
      <c r="E58" s="96">
        <f>E55*D56</f>
        <v>6050</v>
      </c>
      <c r="L58" s="85">
        <f t="shared" si="13"/>
        <v>2039</v>
      </c>
      <c r="M58" s="83">
        <f t="shared" si="7"/>
        <v>45855175.51988361</v>
      </c>
      <c r="N58" s="83">
        <f t="shared" si="8"/>
        <v>9392023.9016629085</v>
      </c>
      <c r="O58" s="83">
        <f t="shared" si="9"/>
        <v>43522574.958854258</v>
      </c>
      <c r="P58" s="83">
        <f t="shared" si="10"/>
        <v>8914262.3409701511</v>
      </c>
      <c r="Q58" s="123">
        <f t="shared" si="11"/>
        <v>2332600.5610293522</v>
      </c>
      <c r="R58" s="83">
        <f t="shared" si="11"/>
        <v>477761.56069275737</v>
      </c>
      <c r="S58" s="84">
        <f t="shared" si="12"/>
        <v>1415017.3282870813</v>
      </c>
      <c r="T58" s="84">
        <f>S58*[4]NPV!C24</f>
        <v>319388.03995134268</v>
      </c>
      <c r="U58" s="113"/>
      <c r="V58" s="94"/>
      <c r="W58" s="94"/>
      <c r="X58" s="93"/>
      <c r="Y58" s="93"/>
    </row>
    <row r="59" spans="1:27">
      <c r="A59" s="95"/>
      <c r="B59" s="117" t="s">
        <v>147</v>
      </c>
      <c r="C59" s="116"/>
      <c r="D59" s="117" t="s">
        <v>143</v>
      </c>
      <c r="E59" s="138">
        <f>E58/D55</f>
        <v>1.1458333333333333</v>
      </c>
      <c r="L59" s="85">
        <f t="shared" si="13"/>
        <v>2040</v>
      </c>
      <c r="M59" s="83">
        <f t="shared" si="7"/>
        <v>46590135.190000005</v>
      </c>
      <c r="N59" s="83">
        <f t="shared" si="8"/>
        <v>9542557.8100000024</v>
      </c>
      <c r="O59" s="83">
        <f t="shared" si="9"/>
        <v>44220900.1734</v>
      </c>
      <c r="P59" s="83">
        <f t="shared" si="10"/>
        <v>9057292.8066000007</v>
      </c>
      <c r="Q59" s="123">
        <f t="shared" si="11"/>
        <v>2369235.0166000053</v>
      </c>
      <c r="R59" s="83">
        <f t="shared" si="11"/>
        <v>485265.00340000167</v>
      </c>
      <c r="S59" s="84">
        <f t="shared" si="12"/>
        <v>1437240.7600700036</v>
      </c>
      <c r="T59" s="84">
        <f>S59*[4]NPV!C25</f>
        <v>303181.45895347104</v>
      </c>
      <c r="U59" s="113"/>
      <c r="V59" s="94"/>
      <c r="W59" s="94"/>
      <c r="X59" s="93"/>
      <c r="Y59" s="93"/>
    </row>
    <row r="60" spans="1:27">
      <c r="A60" s="95"/>
      <c r="B60" s="117">
        <f>B58/60</f>
        <v>5280</v>
      </c>
      <c r="C60" s="116"/>
      <c r="D60" s="117"/>
      <c r="E60" s="96"/>
      <c r="L60" s="85">
        <f t="shared" si="13"/>
        <v>2041</v>
      </c>
      <c r="M60" s="83">
        <f t="shared" si="7"/>
        <v>46996726.63521497</v>
      </c>
      <c r="N60" s="83">
        <f t="shared" si="8"/>
        <v>9625835.5758874044</v>
      </c>
      <c r="O60" s="83">
        <f t="shared" si="9"/>
        <v>44623815.805125155</v>
      </c>
      <c r="P60" s="83">
        <f t="shared" si="10"/>
        <v>9139817.6950256359</v>
      </c>
      <c r="Q60" s="123">
        <f t="shared" si="11"/>
        <v>2372910.830089815</v>
      </c>
      <c r="R60" s="83">
        <f t="shared" si="11"/>
        <v>486017.8808617685</v>
      </c>
      <c r="S60" s="84">
        <f t="shared" si="12"/>
        <v>1439470.6059641219</v>
      </c>
      <c r="T60" s="84">
        <f>S60*[4]NPV!C26</f>
        <v>283786.76448147238</v>
      </c>
      <c r="U60" s="113"/>
      <c r="V60" s="94"/>
      <c r="W60" s="94"/>
      <c r="X60" s="93"/>
      <c r="Y60" s="93"/>
    </row>
    <row r="61" spans="1:27">
      <c r="A61" s="95"/>
      <c r="B61" s="117"/>
      <c r="C61" s="116"/>
      <c r="D61" s="117"/>
      <c r="E61" s="96"/>
      <c r="L61" s="85">
        <f t="shared" si="13"/>
        <v>2042</v>
      </c>
      <c r="M61" s="83">
        <f t="shared" si="7"/>
        <v>47406959.177733153</v>
      </c>
      <c r="N61" s="83">
        <f t="shared" si="8"/>
        <v>9709859.1086923331</v>
      </c>
      <c r="O61" s="83">
        <f t="shared" si="9"/>
        <v>45030407.701946989</v>
      </c>
      <c r="P61" s="83">
        <f t="shared" si="10"/>
        <v>9223095.5534108281</v>
      </c>
      <c r="Q61" s="123">
        <f t="shared" si="11"/>
        <v>2376551.4757861644</v>
      </c>
      <c r="R61" s="83">
        <f t="shared" si="11"/>
        <v>486763.55528150499</v>
      </c>
      <c r="S61" s="84">
        <f t="shared" si="12"/>
        <v>1441679.118142572</v>
      </c>
      <c r="T61" s="84">
        <f>S61*[4]NPV!C27</f>
        <v>265628.19176875654</v>
      </c>
      <c r="U61" s="113"/>
      <c r="V61" s="94"/>
      <c r="W61" s="94"/>
      <c r="X61" s="93"/>
      <c r="Y61" s="93"/>
    </row>
    <row r="62" spans="1:27">
      <c r="A62" s="95"/>
      <c r="B62" s="117"/>
      <c r="C62" s="116"/>
      <c r="D62" s="117" t="s">
        <v>148</v>
      </c>
      <c r="E62" s="96"/>
      <c r="L62" s="85">
        <f t="shared" si="13"/>
        <v>2043</v>
      </c>
      <c r="M62" s="83">
        <f t="shared" si="7"/>
        <v>47820865.772377267</v>
      </c>
      <c r="N62" s="83">
        <f t="shared" si="8"/>
        <v>9794635.158197755</v>
      </c>
      <c r="O62" s="83">
        <f t="shared" si="9"/>
        <v>45440709.446844071</v>
      </c>
      <c r="P62" s="83">
        <f t="shared" si="10"/>
        <v>9307133.2601969801</v>
      </c>
      <c r="Q62" s="123">
        <f t="shared" si="11"/>
        <v>2380156.3255331963</v>
      </c>
      <c r="R62" s="83">
        <f t="shared" si="11"/>
        <v>487501.89800077491</v>
      </c>
      <c r="S62" s="84">
        <f t="shared" si="12"/>
        <v>1443865.9155493544</v>
      </c>
      <c r="T62" s="84">
        <f>S62*[4]NPV!C28</f>
        <v>248627.20317043367</v>
      </c>
      <c r="U62" s="113"/>
      <c r="V62" s="94"/>
      <c r="W62" s="94"/>
      <c r="X62" s="93"/>
      <c r="Y62" s="93"/>
    </row>
    <row r="63" spans="1:27">
      <c r="A63" s="114"/>
      <c r="B63" s="115"/>
      <c r="C63" s="116"/>
      <c r="D63" s="139">
        <f>E59+0.5</f>
        <v>1.6458333333333333</v>
      </c>
      <c r="E63" s="96"/>
      <c r="L63" s="85">
        <f t="shared" si="13"/>
        <v>2044</v>
      </c>
      <c r="M63" s="83">
        <f t="shared" si="7"/>
        <v>48238479.67353218</v>
      </c>
      <c r="N63" s="83">
        <f t="shared" si="8"/>
        <v>9880170.5355427358</v>
      </c>
      <c r="O63" s="83">
        <f t="shared" si="9"/>
        <v>45854754.929907277</v>
      </c>
      <c r="P63" s="83">
        <f t="shared" si="10"/>
        <v>9391937.7567279972</v>
      </c>
      <c r="Q63" s="123">
        <f t="shared" si="11"/>
        <v>2383724.7436249033</v>
      </c>
      <c r="R63" s="83">
        <f t="shared" si="11"/>
        <v>488232.77881473862</v>
      </c>
      <c r="S63" s="84">
        <f t="shared" si="12"/>
        <v>1446030.6125483594</v>
      </c>
      <c r="T63" s="84">
        <f>S63*[4]NPV!C29</f>
        <v>232710.23760504453</v>
      </c>
      <c r="U63" s="113"/>
      <c r="V63" s="94"/>
      <c r="W63" s="94"/>
      <c r="X63" s="93"/>
      <c r="Y63" s="93"/>
    </row>
    <row r="64" spans="1:27">
      <c r="A64" s="128"/>
      <c r="B64" s="129"/>
      <c r="C64" s="130"/>
      <c r="D64" s="131" t="s">
        <v>152</v>
      </c>
      <c r="E64" s="132"/>
      <c r="L64" s="85">
        <f t="shared" si="13"/>
        <v>2045</v>
      </c>
      <c r="M64" s="83">
        <f t="shared" si="7"/>
        <v>48659834.437872805</v>
      </c>
      <c r="N64" s="83">
        <f t="shared" si="8"/>
        <v>9966472.1137811784</v>
      </c>
      <c r="O64" s="83">
        <f t="shared" si="9"/>
        <v>46272578.351151153</v>
      </c>
      <c r="P64" s="83">
        <f t="shared" si="10"/>
        <v>9477516.0478261411</v>
      </c>
      <c r="Q64" s="123">
        <f t="shared" si="11"/>
        <v>2387256.0867216513</v>
      </c>
      <c r="R64" s="83">
        <f t="shared" si="11"/>
        <v>488956.06595503725</v>
      </c>
      <c r="S64" s="84">
        <f t="shared" si="12"/>
        <v>1448172.8188727128</v>
      </c>
      <c r="T64" s="84">
        <f>S64*[4]NPV!C30</f>
        <v>217808.39593986544</v>
      </c>
      <c r="U64" s="113"/>
      <c r="V64" s="94"/>
      <c r="W64" s="94"/>
      <c r="X64" s="93"/>
      <c r="Y64" s="93"/>
    </row>
    <row r="65" spans="1:25">
      <c r="A65" s="140"/>
      <c r="B65" s="141"/>
      <c r="C65" s="134"/>
      <c r="D65" s="141"/>
      <c r="E65" s="141"/>
      <c r="L65" s="85">
        <f t="shared" si="13"/>
        <v>2046</v>
      </c>
      <c r="M65" s="83">
        <f t="shared" si="7"/>
        <v>49084963.927117079</v>
      </c>
      <c r="N65" s="83">
        <f t="shared" si="8"/>
        <v>10053546.828445667</v>
      </c>
      <c r="O65" s="83">
        <f t="shared" si="9"/>
        <v>46694214.223350845</v>
      </c>
      <c r="P65" s="83">
        <f t="shared" si="10"/>
        <v>9563875.2023730651</v>
      </c>
      <c r="Q65" s="123">
        <f t="shared" si="11"/>
        <v>2390749.7037662342</v>
      </c>
      <c r="R65" s="83">
        <f t="shared" si="11"/>
        <v>489671.62607260235</v>
      </c>
      <c r="S65" s="84">
        <f t="shared" si="12"/>
        <v>1450292.1395738542</v>
      </c>
      <c r="T65" s="84">
        <f>S65*[4]NPV!C31</f>
        <v>203857.14622632376</v>
      </c>
      <c r="U65" s="113"/>
      <c r="V65" s="94"/>
      <c r="W65" s="94"/>
      <c r="X65" s="93"/>
      <c r="Y65" s="93"/>
    </row>
    <row r="66" spans="1:25">
      <c r="A66" s="141"/>
      <c r="B66" s="141"/>
      <c r="C66" s="134"/>
      <c r="D66" s="141"/>
      <c r="E66" s="141"/>
      <c r="L66" s="85">
        <f t="shared" si="13"/>
        <v>2047</v>
      </c>
      <c r="M66" s="83">
        <f t="shared" si="7"/>
        <v>49513902.310803816</v>
      </c>
      <c r="N66" s="83">
        <f t="shared" si="8"/>
        <v>10141401.678116444</v>
      </c>
      <c r="O66" s="83">
        <f t="shared" si="9"/>
        <v>47119697.374905363</v>
      </c>
      <c r="P66" s="83">
        <f t="shared" si="10"/>
        <v>9651022.3538962789</v>
      </c>
      <c r="Q66" s="123">
        <f t="shared" si="11"/>
        <v>2394204.935898453</v>
      </c>
      <c r="R66" s="83">
        <f t="shared" si="11"/>
        <v>490379.32422016561</v>
      </c>
      <c r="S66" s="84">
        <f t="shared" si="12"/>
        <v>1452388.1749697246</v>
      </c>
      <c r="T66" s="84">
        <f>S66*[4]NPV!C32</f>
        <v>190796.0475351887</v>
      </c>
      <c r="U66" s="113"/>
      <c r="V66" s="94"/>
      <c r="W66" s="94"/>
      <c r="X66" s="93"/>
      <c r="Y66" s="93"/>
    </row>
    <row r="67" spans="1:25">
      <c r="A67" s="141"/>
      <c r="B67" s="141"/>
      <c r="C67" s="134"/>
      <c r="D67" s="141"/>
      <c r="E67" s="141"/>
      <c r="L67" s="85">
        <f t="shared" si="13"/>
        <v>2048</v>
      </c>
      <c r="M67" s="83">
        <f t="shared" si="7"/>
        <v>49946684.069095984</v>
      </c>
      <c r="N67" s="83">
        <f t="shared" si="8"/>
        <v>10230043.724995565</v>
      </c>
      <c r="O67" s="83">
        <f t="shared" si="9"/>
        <v>47549062.952726752</v>
      </c>
      <c r="P67" s="83">
        <f t="shared" si="10"/>
        <v>9738964.7011609022</v>
      </c>
      <c r="Q67" s="123">
        <f t="shared" si="11"/>
        <v>2397621.1163692325</v>
      </c>
      <c r="R67" s="83">
        <f t="shared" si="11"/>
        <v>491079.02383466251</v>
      </c>
      <c r="S67" s="84">
        <f t="shared" si="12"/>
        <v>1454460.5205926613</v>
      </c>
      <c r="T67" s="84">
        <f>S67*[4]NPV!C33</f>
        <v>178568.49122002034</v>
      </c>
      <c r="U67" s="113"/>
      <c r="V67" s="94"/>
      <c r="W67" s="94"/>
      <c r="X67" s="93"/>
      <c r="Y67" s="93"/>
    </row>
    <row r="68" spans="1:25" ht="18">
      <c r="A68" s="658" t="s">
        <v>153</v>
      </c>
      <c r="B68" s="658"/>
      <c r="C68" s="658"/>
      <c r="D68" s="658"/>
      <c r="E68" s="658"/>
      <c r="L68" s="85">
        <f t="shared" si="13"/>
        <v>2049</v>
      </c>
      <c r="M68" s="83">
        <f t="shared" si="7"/>
        <v>50383343.995609596</v>
      </c>
      <c r="N68" s="83">
        <f t="shared" si="8"/>
        <v>10319480.095486302</v>
      </c>
      <c r="O68" s="83">
        <f t="shared" si="9"/>
        <v>47982346.425156049</v>
      </c>
      <c r="P68" s="83">
        <f t="shared" si="10"/>
        <v>9827709.5087669026</v>
      </c>
      <c r="Q68" s="123">
        <f t="shared" si="11"/>
        <v>2400997.5704535469</v>
      </c>
      <c r="R68" s="83">
        <f t="shared" si="11"/>
        <v>491770.58671939932</v>
      </c>
      <c r="S68" s="84">
        <f t="shared" si="12"/>
        <v>1456508.7671365775</v>
      </c>
      <c r="T68" s="84">
        <f>S68*[4]NPV!C34</f>
        <v>167121.45851088996</v>
      </c>
      <c r="U68" s="113"/>
      <c r="V68" s="94"/>
      <c r="W68" s="94"/>
      <c r="X68" s="93"/>
      <c r="Y68" s="93"/>
    </row>
    <row r="69" spans="1:25">
      <c r="A69" s="142" t="s">
        <v>154</v>
      </c>
      <c r="B69" s="143"/>
      <c r="C69" s="144"/>
      <c r="D69" s="145"/>
      <c r="E69" s="146"/>
      <c r="L69" s="85">
        <f t="shared" si="13"/>
        <v>2050</v>
      </c>
      <c r="M69" s="83">
        <f t="shared" si="7"/>
        <v>50823917.200268209</v>
      </c>
      <c r="N69" s="83">
        <f t="shared" si="8"/>
        <v>10409717.980777828</v>
      </c>
      <c r="O69" s="83">
        <f t="shared" si="9"/>
        <v>48419583.584905654</v>
      </c>
      <c r="P69" s="83">
        <f t="shared" si="10"/>
        <v>9917264.1077517625</v>
      </c>
      <c r="Q69" s="123">
        <f t="shared" si="11"/>
        <v>2404333.6153625548</v>
      </c>
      <c r="R69" s="83">
        <f t="shared" si="11"/>
        <v>492453.87302606553</v>
      </c>
      <c r="S69" s="84">
        <f t="shared" si="12"/>
        <v>1458532.5004036704</v>
      </c>
      <c r="T69" s="84">
        <f>S69*[4]NPV!C35</f>
        <v>156405.29340954215</v>
      </c>
      <c r="U69" s="113"/>
      <c r="V69" s="94"/>
      <c r="W69" s="94"/>
      <c r="X69" s="93"/>
      <c r="Y69" s="93"/>
    </row>
    <row r="70" spans="1:25">
      <c r="A70" s="147"/>
      <c r="B70" s="148"/>
      <c r="C70" s="149"/>
      <c r="D70" s="150"/>
      <c r="E70" s="151"/>
      <c r="L70" s="85">
        <f t="shared" si="13"/>
        <v>2051</v>
      </c>
      <c r="M70" s="83">
        <f t="shared" si="7"/>
        <v>51268439.11218366</v>
      </c>
      <c r="N70" s="83">
        <f t="shared" si="8"/>
        <v>10500764.637435209</v>
      </c>
      <c r="O70" s="83">
        <f t="shared" si="9"/>
        <v>48860810.552028924</v>
      </c>
      <c r="P70" s="83">
        <f t="shared" si="10"/>
        <v>10007635.896198697</v>
      </c>
      <c r="Q70" s="123">
        <f t="shared" si="11"/>
        <v>2407628.560154736</v>
      </c>
      <c r="R70" s="83">
        <f t="shared" si="11"/>
        <v>493128.74123651162</v>
      </c>
      <c r="S70" s="84">
        <f t="shared" si="12"/>
        <v>1460531.3012504929</v>
      </c>
      <c r="T70" s="84">
        <f>S70*[4]NPV!C36</f>
        <v>146373.48992183688</v>
      </c>
      <c r="U70" s="113"/>
      <c r="V70" s="94"/>
      <c r="W70" s="94"/>
      <c r="X70" s="93"/>
      <c r="Y70" s="93"/>
    </row>
    <row r="71" spans="1:25">
      <c r="A71" s="152" t="s">
        <v>155</v>
      </c>
      <c r="B71" s="150">
        <v>625</v>
      </c>
      <c r="C71" s="149"/>
      <c r="D71" s="150"/>
      <c r="E71" s="151"/>
      <c r="L71" s="85">
        <f t="shared" si="13"/>
        <v>2052</v>
      </c>
      <c r="M71" s="83">
        <f t="shared" si="7"/>
        <v>51716945.48256281</v>
      </c>
      <c r="N71" s="83">
        <f t="shared" si="8"/>
        <v>10592627.387994792</v>
      </c>
      <c r="O71" s="83">
        <f t="shared" si="9"/>
        <v>49306063.77691675</v>
      </c>
      <c r="P71" s="83">
        <f t="shared" si="10"/>
        <v>10098832.33985042</v>
      </c>
      <c r="Q71" s="123">
        <f t="shared" si="11"/>
        <v>2410881.7056460604</v>
      </c>
      <c r="R71" s="83">
        <f t="shared" si="11"/>
        <v>493795.04814437218</v>
      </c>
      <c r="S71" s="84">
        <f t="shared" si="12"/>
        <v>1462504.7455334819</v>
      </c>
      <c r="T71" s="84">
        <f>S71*[4]NPV!C37</f>
        <v>136982.49272399579</v>
      </c>
      <c r="U71" s="113"/>
      <c r="V71" s="94"/>
      <c r="W71" s="94"/>
      <c r="X71" s="93"/>
      <c r="Y71" s="93"/>
    </row>
    <row r="72" spans="1:25">
      <c r="A72" s="152"/>
      <c r="B72" s="153"/>
      <c r="C72" s="149"/>
      <c r="D72" s="150"/>
      <c r="E72" s="151"/>
      <c r="L72" s="85">
        <f t="shared" si="13"/>
        <v>2053</v>
      </c>
      <c r="M72" s="83">
        <f t="shared" si="7"/>
        <v>52169472.387640923</v>
      </c>
      <c r="N72" s="83">
        <f t="shared" si="8"/>
        <v>10685313.62156501</v>
      </c>
      <c r="O72" s="83">
        <f t="shared" si="9"/>
        <v>49755380.043321863</v>
      </c>
      <c r="P72" s="83">
        <f t="shared" si="10"/>
        <v>10190860.972728575</v>
      </c>
      <c r="Q72" s="123">
        <f t="shared" si="11"/>
        <v>2414092.3443190604</v>
      </c>
      <c r="R72" s="83">
        <f t="shared" si="11"/>
        <v>494452.64883643575</v>
      </c>
      <c r="S72" s="84">
        <f t="shared" si="12"/>
        <v>1464452.4040537931</v>
      </c>
      <c r="T72" s="84">
        <f>S72*[4]NPV!C38</f>
        <v>128191.51041599791</v>
      </c>
      <c r="U72" s="113"/>
      <c r="V72" s="94"/>
      <c r="W72" s="94"/>
      <c r="X72" s="93"/>
      <c r="Y72" s="93"/>
    </row>
    <row r="73" spans="1:25">
      <c r="A73" s="152" t="s">
        <v>156</v>
      </c>
      <c r="B73" s="153">
        <f>B71/(365-104)</f>
        <v>2.3946360153256707</v>
      </c>
      <c r="C73" s="149"/>
      <c r="D73" s="154" t="s">
        <v>157</v>
      </c>
      <c r="E73" s="151"/>
      <c r="L73" s="85">
        <f t="shared" si="13"/>
        <v>2054</v>
      </c>
      <c r="M73" s="83">
        <f t="shared" si="7"/>
        <v>52626056.231641933</v>
      </c>
      <c r="N73" s="83">
        <f t="shared" si="8"/>
        <v>10778830.794432687</v>
      </c>
      <c r="O73" s="83">
        <f t="shared" si="9"/>
        <v>50208796.471410528</v>
      </c>
      <c r="P73" s="83">
        <f t="shared" si="10"/>
        <v>10283729.397758786</v>
      </c>
      <c r="Q73" s="123">
        <f t="shared" si="11"/>
        <v>2417259.7602314055</v>
      </c>
      <c r="R73" s="83">
        <f t="shared" si="11"/>
        <v>495101.39667390101</v>
      </c>
      <c r="S73" s="84">
        <f t="shared" si="12"/>
        <v>1466373.8425018212</v>
      </c>
      <c r="T73" s="84">
        <f>S73*[4]NPV!C39</f>
        <v>119962.3405687918</v>
      </c>
      <c r="U73" s="113"/>
      <c r="V73" s="94"/>
      <c r="W73" s="94"/>
      <c r="X73" s="93"/>
      <c r="Y73" s="93"/>
    </row>
    <row r="74" spans="1:25">
      <c r="A74" s="152" t="s">
        <v>158</v>
      </c>
      <c r="B74" s="150">
        <v>25</v>
      </c>
      <c r="C74" s="149"/>
      <c r="D74" s="153">
        <f>B76</f>
        <v>59.865900383141771</v>
      </c>
      <c r="E74" s="151"/>
      <c r="L74" s="108">
        <f t="shared" si="13"/>
        <v>2055</v>
      </c>
      <c r="M74" s="155">
        <f t="shared" si="7"/>
        <v>53086733.749765344</v>
      </c>
      <c r="N74" s="155">
        <f t="shared" si="8"/>
        <v>10873186.43067483</v>
      </c>
      <c r="O74" s="155">
        <f t="shared" si="9"/>
        <v>50666350.520842552</v>
      </c>
      <c r="P74" s="155">
        <f t="shared" si="10"/>
        <v>10377445.287401488</v>
      </c>
      <c r="Q74" s="123">
        <f t="shared" si="11"/>
        <v>2420383.2289227918</v>
      </c>
      <c r="R74" s="83">
        <f t="shared" si="11"/>
        <v>495741.1432733424</v>
      </c>
      <c r="S74" s="156">
        <f t="shared" si="12"/>
        <v>1468268.6214007533</v>
      </c>
      <c r="T74" s="84">
        <f>S74*[4]NPV!C40</f>
        <v>112259.20582182154</v>
      </c>
      <c r="U74" s="113"/>
      <c r="V74" s="94"/>
      <c r="W74" s="94"/>
      <c r="X74" s="93"/>
      <c r="Y74" s="93"/>
    </row>
    <row r="75" spans="1:25">
      <c r="A75" s="152"/>
      <c r="B75" s="153"/>
      <c r="C75" s="150"/>
      <c r="D75" s="150"/>
      <c r="E75" s="157"/>
      <c r="L75" s="2"/>
      <c r="M75"/>
      <c r="Q75" s="659" t="s">
        <v>51</v>
      </c>
      <c r="R75" s="652"/>
      <c r="S75" s="110">
        <f>SUM(S44:S74)</f>
        <v>42324590.193626828</v>
      </c>
      <c r="T75" s="110">
        <f>SUM(T44:T74)</f>
        <v>10165638.126499027</v>
      </c>
      <c r="U75" s="113"/>
      <c r="V75" s="94"/>
      <c r="W75" s="94"/>
      <c r="X75" s="93"/>
      <c r="Y75" s="93"/>
    </row>
    <row r="76" spans="1:25">
      <c r="A76" s="158" t="s">
        <v>159</v>
      </c>
      <c r="B76" s="159">
        <f>B73*B74</f>
        <v>59.865900383141771</v>
      </c>
      <c r="C76" s="160"/>
      <c r="D76" s="160"/>
      <c r="E76" s="161"/>
      <c r="M76" s="162"/>
      <c r="N76" s="94"/>
      <c r="O76" s="94"/>
      <c r="P76" s="94"/>
      <c r="Q76" s="94"/>
      <c r="R76" s="94"/>
      <c r="S76" s="94"/>
      <c r="T76" s="93"/>
      <c r="U76" s="113"/>
      <c r="V76" s="94"/>
      <c r="W76" s="94"/>
      <c r="X76" s="93"/>
      <c r="Y76" s="93"/>
    </row>
    <row r="77" spans="1:25">
      <c r="M77" s="162"/>
      <c r="N77" s="94"/>
      <c r="O77" s="94"/>
      <c r="P77" s="94"/>
      <c r="Q77" s="94"/>
      <c r="R77" s="94"/>
      <c r="S77" s="94"/>
      <c r="T77" s="93"/>
      <c r="U77" s="113"/>
      <c r="V77" s="94"/>
      <c r="W77" s="94"/>
      <c r="X77" s="93"/>
      <c r="Y77" s="93"/>
    </row>
    <row r="78" spans="1:25">
      <c r="A78" s="134"/>
      <c r="B78" s="134"/>
      <c r="C78" s="134"/>
      <c r="D78" s="134"/>
      <c r="E78" s="134"/>
      <c r="M78" s="162"/>
      <c r="N78" s="94"/>
      <c r="O78" s="94"/>
      <c r="P78" s="94"/>
      <c r="Q78" s="94"/>
      <c r="R78" s="94"/>
      <c r="S78" s="94"/>
      <c r="T78" s="93"/>
      <c r="U78" s="113"/>
      <c r="V78" s="94"/>
      <c r="W78" s="94"/>
      <c r="X78" s="93"/>
      <c r="Y78" s="93"/>
    </row>
    <row r="79" spans="1:25" s="167" customFormat="1">
      <c r="A79" s="163"/>
      <c r="B79" s="164"/>
      <c r="C79" s="165"/>
      <c r="D79" s="164"/>
      <c r="E79" s="166"/>
      <c r="M79" s="168"/>
    </row>
    <row r="80" spans="1:25">
      <c r="A80" s="660" t="s">
        <v>160</v>
      </c>
      <c r="B80" s="660"/>
      <c r="C80" s="134"/>
      <c r="D80" s="141"/>
      <c r="E80" s="141"/>
    </row>
    <row r="81" spans="1:25">
      <c r="A81" s="660"/>
      <c r="B81" s="660"/>
      <c r="C81" s="134"/>
      <c r="D81" s="141"/>
      <c r="E81" s="141"/>
    </row>
    <row r="82" spans="1:25">
      <c r="A82" s="141"/>
      <c r="B82" s="141"/>
      <c r="C82" s="134"/>
      <c r="D82" s="141"/>
      <c r="E82" s="169"/>
      <c r="M82" s="162"/>
      <c r="N82" s="94"/>
      <c r="O82" s="94"/>
      <c r="P82" s="94"/>
      <c r="Q82" s="94"/>
      <c r="R82" s="94"/>
      <c r="S82" s="94"/>
      <c r="T82" s="93"/>
      <c r="U82" s="113"/>
      <c r="V82" s="94"/>
      <c r="W82" s="94"/>
      <c r="X82" s="93"/>
      <c r="Y82" s="93"/>
    </row>
    <row r="83" spans="1:25">
      <c r="A83" s="141"/>
      <c r="B83" s="141"/>
      <c r="C83" s="134"/>
      <c r="D83" s="141"/>
      <c r="E83" s="141"/>
      <c r="M83" s="170"/>
      <c r="N83" s="7"/>
      <c r="O83" s="7"/>
      <c r="P83" s="7"/>
      <c r="Q83" s="7"/>
      <c r="R83" s="37"/>
      <c r="S83" s="37"/>
      <c r="T83" s="93"/>
      <c r="U83" s="113"/>
      <c r="V83" s="37"/>
      <c r="W83" s="37"/>
      <c r="X83" s="93"/>
      <c r="Y83" s="93"/>
    </row>
    <row r="84" spans="1:25">
      <c r="A84" s="141"/>
      <c r="B84" s="141"/>
      <c r="C84" s="134"/>
      <c r="D84" s="141"/>
      <c r="E84" s="141"/>
      <c r="V84" s="126"/>
      <c r="W84" s="126"/>
      <c r="X84" s="113"/>
      <c r="Y84" s="113"/>
    </row>
    <row r="85" spans="1:25">
      <c r="A85" s="63"/>
      <c r="B85" s="63"/>
      <c r="C85" s="63"/>
      <c r="D85" s="63"/>
      <c r="E85" s="63"/>
      <c r="F85" s="63"/>
      <c r="G85" s="661" t="s">
        <v>161</v>
      </c>
      <c r="H85" s="662"/>
      <c r="I85" s="663"/>
      <c r="J85" s="63"/>
      <c r="K85" s="661" t="s">
        <v>162</v>
      </c>
      <c r="L85" s="662"/>
      <c r="M85" s="663"/>
      <c r="O85" s="661" t="s">
        <v>163</v>
      </c>
      <c r="P85" s="662"/>
      <c r="Q85" s="663"/>
    </row>
    <row r="86" spans="1:25">
      <c r="A86" s="664" t="s">
        <v>164</v>
      </c>
      <c r="B86" s="665"/>
      <c r="C86" s="665"/>
      <c r="D86" s="665"/>
      <c r="E86" s="666"/>
      <c r="F86" s="63"/>
      <c r="G86" s="641" t="s">
        <v>165</v>
      </c>
      <c r="H86" s="667"/>
      <c r="I86" s="642"/>
      <c r="J86" s="88"/>
      <c r="K86" s="641" t="s">
        <v>165</v>
      </c>
      <c r="L86" s="667"/>
      <c r="M86" s="642"/>
      <c r="O86" s="668" t="s">
        <v>165</v>
      </c>
      <c r="P86" s="668"/>
      <c r="Q86" s="668"/>
    </row>
    <row r="87" spans="1:25">
      <c r="A87" s="573" t="s">
        <v>76</v>
      </c>
      <c r="B87" s="573" t="s">
        <v>166</v>
      </c>
      <c r="C87" s="569" t="s">
        <v>167</v>
      </c>
      <c r="D87" s="569" t="s">
        <v>168</v>
      </c>
      <c r="E87" s="569" t="s">
        <v>169</v>
      </c>
      <c r="F87" s="63"/>
      <c r="G87" s="569" t="s">
        <v>170</v>
      </c>
      <c r="H87" s="569" t="s">
        <v>171</v>
      </c>
      <c r="I87" s="569" t="s">
        <v>172</v>
      </c>
      <c r="J87" s="88"/>
      <c r="K87" s="569" t="s">
        <v>170</v>
      </c>
      <c r="L87" s="569" t="s">
        <v>171</v>
      </c>
      <c r="M87" s="569" t="s">
        <v>172</v>
      </c>
      <c r="O87" s="569" t="s">
        <v>170</v>
      </c>
      <c r="P87" s="569" t="s">
        <v>171</v>
      </c>
      <c r="Q87" s="569" t="s">
        <v>172</v>
      </c>
    </row>
    <row r="88" spans="1:25">
      <c r="A88" s="573">
        <v>2017</v>
      </c>
      <c r="B88" s="171">
        <v>106684.98953820582</v>
      </c>
      <c r="C88" s="172">
        <f>B88*365</f>
        <v>38940021.181445122</v>
      </c>
      <c r="D88" s="172">
        <f>C88*$B$6</f>
        <v>6619803.6008456713</v>
      </c>
      <c r="E88" s="172">
        <f>C88-D88</f>
        <v>32320217.58059945</v>
      </c>
      <c r="F88" s="63"/>
      <c r="G88" s="172">
        <f>[4]Delay_Calcs!U54</f>
        <v>677.24071130925893</v>
      </c>
      <c r="H88" s="172">
        <f>[4]Delay_Calcs!V54</f>
        <v>131.40233732208333</v>
      </c>
      <c r="I88" s="172">
        <f>G88+H88</f>
        <v>808.64304863134225</v>
      </c>
      <c r="J88" s="88"/>
      <c r="K88" s="172">
        <f>[4]Delay_Calcs!S5+[4]Delay_Calcs!AL5</f>
        <v>255917.22631744243</v>
      </c>
      <c r="L88" s="172">
        <f>[4]Delay_Calcs!T5+[4]Delay_Calcs!AM5</f>
        <v>34136.714690011235</v>
      </c>
      <c r="M88" s="172">
        <f>K88+L88</f>
        <v>290053.94100745366</v>
      </c>
      <c r="O88" s="172">
        <f t="shared" ref="O88:P126" si="14">G88+K88</f>
        <v>256594.46702875168</v>
      </c>
      <c r="P88" s="172">
        <f t="shared" si="14"/>
        <v>34268.117027333319</v>
      </c>
      <c r="Q88" s="172">
        <f>O88+P88</f>
        <v>290862.58405608498</v>
      </c>
    </row>
    <row r="89" spans="1:25">
      <c r="A89" s="573">
        <v>2018</v>
      </c>
      <c r="B89" s="171">
        <v>108394.71544429637</v>
      </c>
      <c r="C89" s="172">
        <f t="shared" ref="C89:C126" si="15">B89*365</f>
        <v>39564071.137168176</v>
      </c>
      <c r="D89" s="172">
        <f t="shared" ref="D89:D126" si="16">C89*$B$6</f>
        <v>6725892.0933185909</v>
      </c>
      <c r="E89" s="172">
        <f t="shared" ref="E89:E126" si="17">C89-D89</f>
        <v>32838179.043849587</v>
      </c>
      <c r="F89" s="63"/>
      <c r="G89" s="172">
        <f>[4]Delay_Calcs!U55</f>
        <v>689.11549070168428</v>
      </c>
      <c r="H89" s="172">
        <f>[4]Delay_Calcs!V55</f>
        <v>133.5829256982868</v>
      </c>
      <c r="I89" s="172">
        <f t="shared" ref="I89:I126" si="18">G89+H89</f>
        <v>822.69841639997105</v>
      </c>
      <c r="J89" s="88"/>
      <c r="K89" s="172">
        <f>[4]Delay_Calcs!S6+[4]Delay_Calcs!AL6</f>
        <v>263921.53496747732</v>
      </c>
      <c r="L89" s="172">
        <f>[4]Delay_Calcs!T6+[4]Delay_Calcs!AM6</f>
        <v>34815.902981323423</v>
      </c>
      <c r="M89" s="172">
        <f t="shared" ref="M89:M126" si="19">K89+L89</f>
        <v>298737.43794880074</v>
      </c>
      <c r="O89" s="172">
        <f t="shared" si="14"/>
        <v>264610.65045817901</v>
      </c>
      <c r="P89" s="172">
        <f t="shared" si="14"/>
        <v>34949.485907021706</v>
      </c>
      <c r="Q89" s="172">
        <f t="shared" ref="Q89:Q126" si="20">O89+P89</f>
        <v>299560.13636520074</v>
      </c>
    </row>
    <row r="90" spans="1:25">
      <c r="A90" s="573">
        <v>2019</v>
      </c>
      <c r="B90" s="171">
        <v>110131.85099215535</v>
      </c>
      <c r="C90" s="172">
        <f t="shared" si="15"/>
        <v>40198125.612136699</v>
      </c>
      <c r="D90" s="172">
        <f t="shared" si="16"/>
        <v>6833681.3540632389</v>
      </c>
      <c r="E90" s="172">
        <f t="shared" si="17"/>
        <v>33364444.25807346</v>
      </c>
      <c r="F90" s="63"/>
      <c r="G90" s="172">
        <f>[4]Delay_Calcs!U56</f>
        <v>701.2170477074601</v>
      </c>
      <c r="H90" s="172">
        <f>[4]Delay_Calcs!V56</f>
        <v>135.80101958600409</v>
      </c>
      <c r="I90" s="172">
        <f t="shared" si="18"/>
        <v>837.01806729346413</v>
      </c>
      <c r="J90" s="88"/>
      <c r="K90" s="172">
        <f>[4]Delay_Calcs!S7+[4]Delay_Calcs!AL7</f>
        <v>272311.1895099653</v>
      </c>
      <c r="L90" s="172">
        <f>[4]Delay_Calcs!T7+[4]Delay_Calcs!AM7</f>
        <v>35511.342817997305</v>
      </c>
      <c r="M90" s="172">
        <f t="shared" si="19"/>
        <v>307822.53232796263</v>
      </c>
      <c r="O90" s="172">
        <f t="shared" si="14"/>
        <v>273012.40655767277</v>
      </c>
      <c r="P90" s="172">
        <f t="shared" si="14"/>
        <v>35647.14383758331</v>
      </c>
      <c r="Q90" s="172">
        <f t="shared" si="20"/>
        <v>308659.55039525608</v>
      </c>
    </row>
    <row r="91" spans="1:25">
      <c r="A91" s="573">
        <v>2020</v>
      </c>
      <c r="B91" s="171">
        <v>111896.83573305423</v>
      </c>
      <c r="C91" s="172">
        <f t="shared" si="15"/>
        <v>40842345.042564794</v>
      </c>
      <c r="D91" s="172">
        <f t="shared" si="16"/>
        <v>6943198.6572360154</v>
      </c>
      <c r="E91" s="172">
        <f t="shared" si="17"/>
        <v>33899146.385328777</v>
      </c>
      <c r="F91" s="63"/>
      <c r="G91" s="172">
        <f>[4]Delay_Calcs!U57</f>
        <v>713.55037247128757</v>
      </c>
      <c r="H91" s="172">
        <f>[4]Delay_Calcs!V57</f>
        <v>138.0573082827506</v>
      </c>
      <c r="I91" s="172">
        <f t="shared" si="18"/>
        <v>851.60768075403814</v>
      </c>
      <c r="J91" s="88"/>
      <c r="K91" s="172">
        <f>[4]Delay_Calcs!S8+[4]Delay_Calcs!AL8</f>
        <v>281114.21801842813</v>
      </c>
      <c r="L91" s="172">
        <f>[4]Delay_Calcs!T8+[4]Delay_Calcs!AM8</f>
        <v>36223.53550944473</v>
      </c>
      <c r="M91" s="172">
        <f t="shared" si="19"/>
        <v>317337.75352787285</v>
      </c>
      <c r="O91" s="172">
        <f t="shared" si="14"/>
        <v>281827.76839089941</v>
      </c>
      <c r="P91" s="172">
        <f t="shared" si="14"/>
        <v>36361.592817727484</v>
      </c>
      <c r="Q91" s="172">
        <f t="shared" si="20"/>
        <v>318189.36120862688</v>
      </c>
    </row>
    <row r="92" spans="1:25">
      <c r="A92" s="573">
        <v>2021</v>
      </c>
      <c r="B92" s="171">
        <v>113690.11626885612</v>
      </c>
      <c r="C92" s="172">
        <f t="shared" si="15"/>
        <v>41496892.43813248</v>
      </c>
      <c r="D92" s="172">
        <f t="shared" si="16"/>
        <v>7054471.7144825216</v>
      </c>
      <c r="E92" s="172">
        <f t="shared" si="17"/>
        <v>34442420.723649956</v>
      </c>
      <c r="F92" s="63"/>
      <c r="G92" s="172">
        <f>[4]Delay_Calcs!U58</f>
        <v>726.1205885951432</v>
      </c>
      <c r="H92" s="172">
        <f>[4]Delay_Calcs!V58</f>
        <v>140.35249523979553</v>
      </c>
      <c r="I92" s="172">
        <f t="shared" si="18"/>
        <v>866.47308383493873</v>
      </c>
      <c r="J92" s="68"/>
      <c r="K92" s="172">
        <f>[4]Delay_Calcs!S9+[4]Delay_Calcs!AL9</f>
        <v>290361.49408502702</v>
      </c>
      <c r="L92" s="172">
        <f>[4]Delay_Calcs!T9+[4]Delay_Calcs!AM9</f>
        <v>36953.002656741468</v>
      </c>
      <c r="M92" s="172">
        <f t="shared" si="19"/>
        <v>327314.4967417685</v>
      </c>
      <c r="O92" s="172">
        <f t="shared" si="14"/>
        <v>291087.61467362219</v>
      </c>
      <c r="P92" s="172">
        <f t="shared" si="14"/>
        <v>37093.355151981261</v>
      </c>
      <c r="Q92" s="172">
        <f t="shared" si="20"/>
        <v>328180.96982560342</v>
      </c>
    </row>
    <row r="93" spans="1:25">
      <c r="A93" s="573">
        <v>2022</v>
      </c>
      <c r="B93" s="171">
        <v>115512.14636513505</v>
      </c>
      <c r="C93" s="172">
        <f t="shared" si="15"/>
        <v>42161933.423274294</v>
      </c>
      <c r="D93" s="172">
        <f t="shared" si="16"/>
        <v>7167528.6819566302</v>
      </c>
      <c r="E93" s="172">
        <f t="shared" si="17"/>
        <v>34994404.74131766</v>
      </c>
      <c r="F93" s="63"/>
      <c r="G93" s="172">
        <f>[4]Delay_Calcs!U59</f>
        <v>738.93295756014345</v>
      </c>
      <c r="H93" s="172">
        <f>[4]Delay_Calcs!V59</f>
        <v>142.68729840232723</v>
      </c>
      <c r="I93" s="172">
        <f t="shared" si="18"/>
        <v>881.62025596247065</v>
      </c>
      <c r="J93" s="36"/>
      <c r="K93" s="172">
        <f>[4]Delay_Calcs!S10+[4]Delay_Calcs!AL10</f>
        <v>300087.11436439364</v>
      </c>
      <c r="L93" s="172">
        <f>[4]Delay_Calcs!T10+[4]Delay_Calcs!AM10</f>
        <v>37700.287197525569</v>
      </c>
      <c r="M93" s="172">
        <f t="shared" si="19"/>
        <v>337787.40156191919</v>
      </c>
      <c r="N93" s="173"/>
      <c r="O93" s="172">
        <f t="shared" si="14"/>
        <v>300826.04732195375</v>
      </c>
      <c r="P93" s="172">
        <f t="shared" si="14"/>
        <v>37842.974495927898</v>
      </c>
      <c r="Q93" s="172">
        <f t="shared" si="20"/>
        <v>338669.02181788167</v>
      </c>
    </row>
    <row r="94" spans="1:25">
      <c r="A94" s="573">
        <v>2023</v>
      </c>
      <c r="B94" s="171">
        <v>117363.38706611002</v>
      </c>
      <c r="C94" s="172">
        <f t="shared" si="15"/>
        <v>42837636.279130161</v>
      </c>
      <c r="D94" s="172">
        <f t="shared" si="16"/>
        <v>7282398.1674521277</v>
      </c>
      <c r="E94" s="172">
        <f t="shared" si="17"/>
        <v>35555238.111678034</v>
      </c>
      <c r="F94" s="63"/>
      <c r="G94" s="172">
        <f>[4]Delay_Calcs!U60</f>
        <v>751.99288332650826</v>
      </c>
      <c r="H94" s="172">
        <f>[4]Delay_Calcs!V60</f>
        <v>145.06245055941582</v>
      </c>
      <c r="I94" s="172">
        <f t="shared" si="18"/>
        <v>897.05533388592403</v>
      </c>
      <c r="K94" s="172">
        <f>[4]Delay_Calcs!S11+[4]Delay_Calcs!AL11</f>
        <v>310328.83875646337</v>
      </c>
      <c r="L94" s="172">
        <f>[4]Delay_Calcs!T11+[4]Delay_Calcs!AM11</f>
        <v>38465.954516653597</v>
      </c>
      <c r="M94" s="172">
        <f t="shared" si="19"/>
        <v>348794.79327311699</v>
      </c>
      <c r="O94" s="172">
        <f t="shared" si="14"/>
        <v>311080.83163978986</v>
      </c>
      <c r="P94" s="172">
        <f t="shared" si="14"/>
        <v>38611.016967213014</v>
      </c>
      <c r="Q94" s="172">
        <f t="shared" si="20"/>
        <v>349691.84860700287</v>
      </c>
    </row>
    <row r="95" spans="1:25">
      <c r="A95" s="573">
        <v>2024</v>
      </c>
      <c r="B95" s="171">
        <v>119244.30681142406</v>
      </c>
      <c r="C95" s="172">
        <f t="shared" si="15"/>
        <v>43524171.986169785</v>
      </c>
      <c r="D95" s="172">
        <f t="shared" si="16"/>
        <v>7399109.2376488643</v>
      </c>
      <c r="E95" s="172">
        <f t="shared" si="17"/>
        <v>36125062.748520918</v>
      </c>
      <c r="F95" s="63"/>
      <c r="G95" s="172">
        <f>[4]Delay_Calcs!U61</f>
        <v>765.30591712008425</v>
      </c>
      <c r="H95" s="172">
        <f>[4]Delay_Calcs!V61</f>
        <v>147.47869970410949</v>
      </c>
      <c r="I95" s="172">
        <f t="shared" si="18"/>
        <v>912.78461682419379</v>
      </c>
      <c r="K95" s="172">
        <f>[4]Delay_Calcs!S12+[4]Delay_Calcs!AL12</f>
        <v>321128.6058310027</v>
      </c>
      <c r="L95" s="172">
        <f>[4]Delay_Calcs!T12+[4]Delay_Calcs!AM12</f>
        <v>39250.593627522685</v>
      </c>
      <c r="M95" s="172">
        <f t="shared" si="19"/>
        <v>360379.1994585254</v>
      </c>
      <c r="O95" s="172">
        <f t="shared" si="14"/>
        <v>321893.91174812277</v>
      </c>
      <c r="P95" s="172">
        <f t="shared" si="14"/>
        <v>39398.072327226793</v>
      </c>
      <c r="Q95" s="172">
        <f t="shared" si="20"/>
        <v>361291.98407534958</v>
      </c>
    </row>
    <row r="96" spans="1:25">
      <c r="A96" s="573">
        <v>2025</v>
      </c>
      <c r="B96" s="171">
        <v>121155.38155479635</v>
      </c>
      <c r="C96" s="172">
        <f t="shared" si="15"/>
        <v>44221714.267500669</v>
      </c>
      <c r="D96" s="172">
        <f t="shared" si="16"/>
        <v>7517691.425475114</v>
      </c>
      <c r="E96" s="172">
        <f t="shared" si="17"/>
        <v>36704022.842025556</v>
      </c>
      <c r="F96" s="63"/>
      <c r="G96" s="172">
        <f>[4]Delay_Calcs!U62</f>
        <v>778.87776241434005</v>
      </c>
      <c r="H96" s="172">
        <f>[4]Delay_Calcs!V62</f>
        <v>149.9368094040108</v>
      </c>
      <c r="I96" s="172">
        <f t="shared" si="18"/>
        <v>928.81457181835083</v>
      </c>
      <c r="K96" s="172">
        <f>[4]Delay_Calcs!S13+[4]Delay_Calcs!AL13</f>
        <v>332533.13910315279</v>
      </c>
      <c r="L96" s="172">
        <f>[4]Delay_Calcs!T13+[4]Delay_Calcs!AM13</f>
        <v>40054.818429391424</v>
      </c>
      <c r="M96" s="172">
        <f t="shared" si="19"/>
        <v>372587.95753254421</v>
      </c>
      <c r="O96" s="172">
        <f t="shared" si="14"/>
        <v>333312.01686556713</v>
      </c>
      <c r="P96" s="172">
        <f t="shared" si="14"/>
        <v>40204.755238795435</v>
      </c>
      <c r="Q96" s="172">
        <f t="shared" si="20"/>
        <v>373516.77210436255</v>
      </c>
    </row>
    <row r="97" spans="1:17">
      <c r="A97" s="573">
        <v>2026</v>
      </c>
      <c r="B97" s="171">
        <v>123097.09488457924</v>
      </c>
      <c r="C97" s="172">
        <f t="shared" si="15"/>
        <v>44930439.632871427</v>
      </c>
      <c r="D97" s="172">
        <f t="shared" si="16"/>
        <v>7638174.737588143</v>
      </c>
      <c r="E97" s="172">
        <f t="shared" si="17"/>
        <v>37292264.895283282</v>
      </c>
      <c r="F97" s="63"/>
      <c r="G97" s="172">
        <f>[4]Delay_Calcs!U63</f>
        <v>792.71428011724845</v>
      </c>
      <c r="H97" s="172">
        <f>[4]Delay_Calcs!V63</f>
        <v>152.43755918269662</v>
      </c>
      <c r="I97" s="172">
        <f t="shared" si="18"/>
        <v>945.1518392999451</v>
      </c>
      <c r="K97" s="172">
        <f>[4]Delay_Calcs!S14+[4]Delay_Calcs!AL14</f>
        <v>344594.66361224675</v>
      </c>
      <c r="L97" s="172">
        <f>[4]Delay_Calcs!T14+[4]Delay_Calcs!AM14</f>
        <v>40879.269046500383</v>
      </c>
      <c r="M97" s="172">
        <f t="shared" si="19"/>
        <v>385473.93265874713</v>
      </c>
      <c r="O97" s="172">
        <f t="shared" si="14"/>
        <v>345387.37789236399</v>
      </c>
      <c r="P97" s="172">
        <f t="shared" si="14"/>
        <v>41031.706605683081</v>
      </c>
      <c r="Q97" s="172">
        <f t="shared" si="20"/>
        <v>386419.08449804707</v>
      </c>
    </row>
    <row r="98" spans="1:17">
      <c r="A98" s="573">
        <v>2027</v>
      </c>
      <c r="B98" s="171">
        <v>125069.93814624938</v>
      </c>
      <c r="C98" s="172">
        <f t="shared" si="15"/>
        <v>45650527.423381023</v>
      </c>
      <c r="D98" s="172">
        <f t="shared" si="16"/>
        <v>7760589.6619747747</v>
      </c>
      <c r="E98" s="172">
        <f t="shared" si="17"/>
        <v>37889937.76140625</v>
      </c>
      <c r="F98" s="63"/>
      <c r="G98" s="172">
        <f>[4]Delay_Calcs!U64</f>
        <v>806.82149397298224</v>
      </c>
      <c r="H98" s="172">
        <f>[4]Delay_Calcs!V64</f>
        <v>154.98174491235733</v>
      </c>
      <c r="I98" s="172">
        <f t="shared" si="18"/>
        <v>961.80323888533962</v>
      </c>
      <c r="K98" s="172">
        <f>[4]Delay_Calcs!S15+[4]Delay_Calcs!AL15</f>
        <v>357371.75720309926</v>
      </c>
      <c r="L98" s="172">
        <f>[4]Delay_Calcs!T15+[4]Delay_Calcs!AM15</f>
        <v>41724.613255306991</v>
      </c>
      <c r="M98" s="172">
        <f t="shared" si="19"/>
        <v>399096.37045840628</v>
      </c>
      <c r="O98" s="172">
        <f t="shared" si="14"/>
        <v>358178.57869707223</v>
      </c>
      <c r="P98" s="172">
        <f t="shared" si="14"/>
        <v>41879.595000219349</v>
      </c>
      <c r="Q98" s="172">
        <f t="shared" si="20"/>
        <v>400058.17369729158</v>
      </c>
    </row>
    <row r="99" spans="1:17">
      <c r="A99" s="573">
        <v>2028</v>
      </c>
      <c r="B99" s="171">
        <v>127074.41056686436</v>
      </c>
      <c r="C99" s="172">
        <f t="shared" si="15"/>
        <v>46382159.85690549</v>
      </c>
      <c r="D99" s="172">
        <f t="shared" si="16"/>
        <v>7884967.1756739337</v>
      </c>
      <c r="E99" s="172">
        <f t="shared" si="17"/>
        <v>38497192.681231558</v>
      </c>
      <c r="F99" s="63"/>
      <c r="G99" s="172">
        <f>[4]Delay_Calcs!U65</f>
        <v>821.20559618890809</v>
      </c>
      <c r="H99" s="172">
        <f>[4]Delay_Calcs!V65</f>
        <v>157.57017921804646</v>
      </c>
      <c r="I99" s="172">
        <f t="shared" si="18"/>
        <v>978.77577540695461</v>
      </c>
      <c r="K99" s="172">
        <f>[4]Delay_Calcs!S16+[4]Delay_Calcs!AL16</f>
        <v>370930.36732528103</v>
      </c>
      <c r="L99" s="172">
        <f>[4]Delay_Calcs!T16+[4]Delay_Calcs!AM16</f>
        <v>42591.548006716155</v>
      </c>
      <c r="M99" s="172">
        <f t="shared" si="19"/>
        <v>413521.91533199721</v>
      </c>
      <c r="O99" s="172">
        <f t="shared" si="14"/>
        <v>371751.57292146992</v>
      </c>
      <c r="P99" s="172">
        <f t="shared" si="14"/>
        <v>42749.118185934203</v>
      </c>
      <c r="Q99" s="172">
        <f t="shared" si="20"/>
        <v>414500.69110740413</v>
      </c>
    </row>
    <row r="100" spans="1:17">
      <c r="A100" s="573">
        <v>2029</v>
      </c>
      <c r="B100" s="171">
        <v>129111.01938151711</v>
      </c>
      <c r="C100" s="172">
        <f t="shared" si="15"/>
        <v>47125522.074253745</v>
      </c>
      <c r="D100" s="172">
        <f t="shared" si="16"/>
        <v>8011338.7526231371</v>
      </c>
      <c r="E100" s="172">
        <f t="shared" si="17"/>
        <v>39114183.321630612</v>
      </c>
      <c r="F100" s="63"/>
      <c r="G100" s="172">
        <f>[4]Delay_Calcs!U66</f>
        <v>835.87295329895267</v>
      </c>
      <c r="H100" s="172">
        <f>[4]Delay_Calcs!V66</f>
        <v>160.20369189394901</v>
      </c>
      <c r="I100" s="172">
        <f t="shared" si="18"/>
        <v>996.07664519290165</v>
      </c>
      <c r="K100" s="172">
        <f>[4]Delay_Calcs!S17+[4]Delay_Calcs!AL17</f>
        <v>385345.0325547973</v>
      </c>
      <c r="L100" s="172">
        <f>[4]Delay_Calcs!T17+[4]Delay_Calcs!AM17</f>
        <v>43480.801050812341</v>
      </c>
      <c r="M100" s="172">
        <f t="shared" si="19"/>
        <v>428825.83360560966</v>
      </c>
      <c r="O100" s="172">
        <f t="shared" si="14"/>
        <v>386180.90550809627</v>
      </c>
      <c r="P100" s="172">
        <f t="shared" si="14"/>
        <v>43641.004742706289</v>
      </c>
      <c r="Q100" s="172">
        <f t="shared" si="20"/>
        <v>429821.91025080258</v>
      </c>
    </row>
    <row r="101" spans="1:17">
      <c r="A101" s="573">
        <v>2030</v>
      </c>
      <c r="B101" s="171">
        <v>131180.27996181895</v>
      </c>
      <c r="C101" s="172">
        <f t="shared" si="15"/>
        <v>47880802.186063915</v>
      </c>
      <c r="D101" s="172">
        <f t="shared" si="16"/>
        <v>8139736.3716308661</v>
      </c>
      <c r="E101" s="172">
        <f t="shared" si="17"/>
        <v>39741065.814433053</v>
      </c>
      <c r="F101" s="63"/>
      <c r="G101" s="172">
        <f>[4]Delay_Calcs!U67</f>
        <v>850.83011227503926</v>
      </c>
      <c r="H101" s="172">
        <f>[4]Delay_Calcs!V67</f>
        <v>162.88313033209135</v>
      </c>
      <c r="I101" s="172">
        <f t="shared" si="18"/>
        <v>1013.7132426071306</v>
      </c>
      <c r="K101" s="172">
        <f>[4]Delay_Calcs!S18+[4]Delay_Calcs!AL18</f>
        <v>400700.35910412675</v>
      </c>
      <c r="L101" s="172">
        <f>[4]Delay_Calcs!T18+[4]Delay_Calcs!AM18</f>
        <v>44393.13267228828</v>
      </c>
      <c r="M101" s="172">
        <f t="shared" si="19"/>
        <v>445093.49177641503</v>
      </c>
      <c r="O101" s="172">
        <f t="shared" si="14"/>
        <v>401551.18921640178</v>
      </c>
      <c r="P101" s="172">
        <f t="shared" si="14"/>
        <v>44556.015802620372</v>
      </c>
      <c r="Q101" s="172">
        <f t="shared" si="20"/>
        <v>446107.20501902216</v>
      </c>
    </row>
    <row r="102" spans="1:17">
      <c r="A102" s="573">
        <v>2031</v>
      </c>
      <c r="B102" s="171">
        <v>133282.71594644469</v>
      </c>
      <c r="C102" s="172">
        <f t="shared" si="15"/>
        <v>48648191.32045231</v>
      </c>
      <c r="D102" s="172">
        <f t="shared" si="16"/>
        <v>8270192.5244768932</v>
      </c>
      <c r="E102" s="172">
        <f t="shared" si="17"/>
        <v>40377998.795975417</v>
      </c>
      <c r="F102" s="63"/>
      <c r="G102" s="172">
        <f>[4]Delay_Calcs!U68</f>
        <v>866.0838068989608</v>
      </c>
      <c r="H102" s="172">
        <f>[4]Delay_Calcs!V68</f>
        <v>165.60935996393459</v>
      </c>
      <c r="I102" s="172">
        <f t="shared" si="18"/>
        <v>1031.6931668628954</v>
      </c>
      <c r="K102" s="172">
        <f>[4]Delay_Calcs!S19+[4]Delay_Calcs!AL19</f>
        <v>417092.8173046445</v>
      </c>
      <c r="L102" s="172">
        <f>[4]Delay_Calcs!T19+[4]Delay_Calcs!AM19</f>
        <v>45329.337545526854</v>
      </c>
      <c r="M102" s="172">
        <f t="shared" si="19"/>
        <v>462422.15485017136</v>
      </c>
      <c r="O102" s="172">
        <f t="shared" si="14"/>
        <v>417958.90111154347</v>
      </c>
      <c r="P102" s="172">
        <f t="shared" si="14"/>
        <v>45494.94690549079</v>
      </c>
      <c r="Q102" s="172">
        <f t="shared" si="20"/>
        <v>463453.84801703424</v>
      </c>
    </row>
    <row r="103" spans="1:17">
      <c r="A103" s="573">
        <v>2032</v>
      </c>
      <c r="B103" s="171">
        <v>135418.85937377272</v>
      </c>
      <c r="C103" s="172">
        <f t="shared" si="15"/>
        <v>49427883.671427041</v>
      </c>
      <c r="D103" s="172">
        <f t="shared" si="16"/>
        <v>8402740.224142598</v>
      </c>
      <c r="E103" s="172">
        <f t="shared" si="17"/>
        <v>41025143.447284445</v>
      </c>
      <c r="F103" s="63"/>
      <c r="G103" s="172">
        <f>[4]Delay_Calcs!U69</f>
        <v>881.64096440776609</v>
      </c>
      <c r="H103" s="172">
        <f>[4]Delay_Calcs!V69</f>
        <v>168.38326471530971</v>
      </c>
      <c r="I103" s="172">
        <f t="shared" si="18"/>
        <v>1050.0242291230759</v>
      </c>
      <c r="K103" s="172">
        <f>[4]Delay_Calcs!S20+[4]Delay_Calcs!AL20</f>
        <v>434632.94281859259</v>
      </c>
      <c r="L103" s="172">
        <f>[4]Delay_Calcs!T20+[4]Delay_Calcs!AM20</f>
        <v>46290.246719135874</v>
      </c>
      <c r="M103" s="172">
        <f t="shared" si="19"/>
        <v>480923.18953772844</v>
      </c>
      <c r="O103" s="172">
        <f t="shared" si="14"/>
        <v>435514.58378300036</v>
      </c>
      <c r="P103" s="172">
        <f t="shared" si="14"/>
        <v>46458.629983851184</v>
      </c>
      <c r="Q103" s="172">
        <f t="shared" si="20"/>
        <v>481973.21376685152</v>
      </c>
    </row>
    <row r="104" spans="1:17">
      <c r="A104" s="573">
        <v>2033</v>
      </c>
      <c r="B104" s="171">
        <v>137589.25081665351</v>
      </c>
      <c r="C104" s="172">
        <f t="shared" si="15"/>
        <v>50220076.54807853</v>
      </c>
      <c r="D104" s="172">
        <f t="shared" si="16"/>
        <v>8537413.0131733511</v>
      </c>
      <c r="E104" s="172">
        <f t="shared" si="17"/>
        <v>41682663.53490518</v>
      </c>
      <c r="F104" s="63"/>
      <c r="G104" s="172">
        <f>[4]Delay_Calcs!U70</f>
        <v>897.5087124264885</v>
      </c>
      <c r="H104" s="172">
        <f>[4]Delay_Calcs!V70</f>
        <v>171.20574747517284</v>
      </c>
      <c r="I104" s="172">
        <f t="shared" si="18"/>
        <v>1068.7144599016613</v>
      </c>
      <c r="K104" s="172">
        <f>[4]Delay_Calcs!S21+[4]Delay_Calcs!AL21</f>
        <v>453448.05417738354</v>
      </c>
      <c r="L104" s="172">
        <f>[4]Delay_Calcs!T21+[4]Delay_Calcs!AM21</f>
        <v>47276.729740668234</v>
      </c>
      <c r="M104" s="172">
        <f t="shared" si="19"/>
        <v>500724.78391805175</v>
      </c>
      <c r="O104" s="172">
        <f t="shared" si="14"/>
        <v>454345.56288981001</v>
      </c>
      <c r="P104" s="172">
        <f t="shared" si="14"/>
        <v>47447.935488143405</v>
      </c>
      <c r="Q104" s="172">
        <f t="shared" si="20"/>
        <v>501793.49837795342</v>
      </c>
    </row>
    <row r="105" spans="1:17">
      <c r="A105" s="573">
        <v>2034</v>
      </c>
      <c r="B105" s="171">
        <v>139794.43951934067</v>
      </c>
      <c r="C105" s="172">
        <f t="shared" si="15"/>
        <v>51024970.42455934</v>
      </c>
      <c r="D105" s="172">
        <f t="shared" si="16"/>
        <v>8674244.9721750878</v>
      </c>
      <c r="E105" s="172">
        <f t="shared" si="17"/>
        <v>42350725.452384248</v>
      </c>
      <c r="F105" s="63"/>
      <c r="G105" s="172">
        <f>[4]Delay_Calcs!U71</f>
        <v>913.69438620285314</v>
      </c>
      <c r="H105" s="172">
        <f>[4]Delay_Calcs!V71</f>
        <v>174.07773057867925</v>
      </c>
      <c r="I105" s="172">
        <f t="shared" si="18"/>
        <v>1087.7721167815323</v>
      </c>
      <c r="K105" s="172">
        <f>[4]Delay_Calcs!S22+[4]Delay_Calcs!AL22</f>
        <v>473685.63507917197</v>
      </c>
      <c r="L105" s="172">
        <f>[4]Delay_Calcs!T22+[4]Delay_Calcs!AM22</f>
        <v>48289.696933295927</v>
      </c>
      <c r="M105" s="172">
        <f t="shared" si="19"/>
        <v>521975.3320124679</v>
      </c>
      <c r="O105" s="172">
        <f t="shared" si="14"/>
        <v>474599.32946537482</v>
      </c>
      <c r="P105" s="172">
        <f t="shared" si="14"/>
        <v>48463.774663874603</v>
      </c>
      <c r="Q105" s="172">
        <f t="shared" si="20"/>
        <v>523063.1041292494</v>
      </c>
    </row>
    <row r="106" spans="1:17">
      <c r="A106" s="573">
        <v>2035</v>
      </c>
      <c r="B106" s="171">
        <v>142034.98353661966</v>
      </c>
      <c r="C106" s="172">
        <f t="shared" si="15"/>
        <v>51842768.990866177</v>
      </c>
      <c r="D106" s="172">
        <f t="shared" si="16"/>
        <v>8813270.728447251</v>
      </c>
      <c r="E106" s="172">
        <f t="shared" si="17"/>
        <v>43029498.262418926</v>
      </c>
      <c r="F106" s="63"/>
      <c r="G106" s="172">
        <f>[4]Delay_Calcs!U72</f>
        <v>930.20553615945846</v>
      </c>
      <c r="H106" s="172">
        <f>[4]Delay_Calcs!V72</f>
        <v>177.0001563050929</v>
      </c>
      <c r="I106" s="172">
        <f t="shared" si="18"/>
        <v>1107.2056924645512</v>
      </c>
      <c r="K106" s="172">
        <f>[4]Delay_Calcs!S23+[4]Delay_Calcs!AL23</f>
        <v>495517.58103785949</v>
      </c>
      <c r="L106" s="172">
        <f>[4]Delay_Calcs!T23+[4]Delay_Calcs!AM23</f>
        <v>49330.101837354836</v>
      </c>
      <c r="M106" s="172">
        <f t="shared" si="19"/>
        <v>544847.68287521438</v>
      </c>
      <c r="O106" s="172">
        <f t="shared" si="14"/>
        <v>496447.78657401894</v>
      </c>
      <c r="P106" s="172">
        <f t="shared" si="14"/>
        <v>49507.101993659926</v>
      </c>
      <c r="Q106" s="172">
        <f t="shared" si="20"/>
        <v>545954.88856767886</v>
      </c>
    </row>
    <row r="107" spans="1:17">
      <c r="A107" s="573">
        <v>2036</v>
      </c>
      <c r="B107" s="171">
        <v>144311.44987516906</v>
      </c>
      <c r="C107" s="172">
        <f t="shared" si="15"/>
        <v>52673679.204436705</v>
      </c>
      <c r="D107" s="172">
        <f t="shared" si="16"/>
        <v>8954525.4647542406</v>
      </c>
      <c r="E107" s="172">
        <f t="shared" si="17"/>
        <v>43719153.739682466</v>
      </c>
      <c r="F107" s="63"/>
      <c r="G107" s="172">
        <f>[4]Delay_Calcs!U73</f>
        <v>947.04993577984078</v>
      </c>
      <c r="H107" s="172">
        <f>[4]Delay_Calcs!V73</f>
        <v>179.97398739107308</v>
      </c>
      <c r="I107" s="172">
        <f t="shared" si="18"/>
        <v>1127.0239231709138</v>
      </c>
      <c r="K107" s="172">
        <f>[4]Delay_Calcs!S24+[4]Delay_Calcs!AL24</f>
        <v>519145.58194093185</v>
      </c>
      <c r="L107" s="172">
        <f>[4]Delay_Calcs!T24+[4]Delay_Calcs!AM24</f>
        <v>50398.943830956137</v>
      </c>
      <c r="M107" s="172">
        <f t="shared" si="19"/>
        <v>569544.52577188797</v>
      </c>
      <c r="O107" s="172">
        <f t="shared" si="14"/>
        <v>520092.63187671168</v>
      </c>
      <c r="P107" s="172">
        <f t="shared" si="14"/>
        <v>50578.91781834721</v>
      </c>
      <c r="Q107" s="172">
        <f t="shared" si="20"/>
        <v>570671.54969505884</v>
      </c>
    </row>
    <row r="108" spans="1:17">
      <c r="A108" s="573">
        <v>2037</v>
      </c>
      <c r="B108" s="171">
        <v>146624.41463719026</v>
      </c>
      <c r="C108" s="172">
        <f t="shared" si="15"/>
        <v>53517911.342574447</v>
      </c>
      <c r="D108" s="172">
        <f t="shared" si="16"/>
        <v>9098044.9282376561</v>
      </c>
      <c r="E108" s="172">
        <f t="shared" si="17"/>
        <v>44419866.414336793</v>
      </c>
      <c r="F108" s="63"/>
      <c r="G108" s="172">
        <f>[4]Delay_Calcs!U74</f>
        <v>964.23558984580689</v>
      </c>
      <c r="H108" s="172">
        <f>[4]Delay_Calcs!V74</f>
        <v>183.00020755990079</v>
      </c>
      <c r="I108" s="172">
        <f t="shared" si="18"/>
        <v>1147.2357974057077</v>
      </c>
      <c r="K108" s="172">
        <f>[4]Delay_Calcs!S25+[4]Delay_Calcs!AL25</f>
        <v>544808.01471328782</v>
      </c>
      <c r="L108" s="172">
        <f>[4]Delay_Calcs!T25+[4]Delay_Calcs!AM25</f>
        <v>51497.270945282435</v>
      </c>
      <c r="M108" s="172">
        <f t="shared" si="19"/>
        <v>596305.28565857024</v>
      </c>
      <c r="O108" s="172">
        <f t="shared" si="14"/>
        <v>545772.25030313362</v>
      </c>
      <c r="P108" s="172">
        <f t="shared" si="14"/>
        <v>51680.271152842339</v>
      </c>
      <c r="Q108" s="172">
        <f t="shared" si="20"/>
        <v>597452.52145597595</v>
      </c>
    </row>
    <row r="109" spans="1:17">
      <c r="A109" s="573">
        <v>2038</v>
      </c>
      <c r="B109" s="174">
        <v>148974.46316634223</v>
      </c>
      <c r="C109" s="172">
        <f t="shared" si="15"/>
        <v>54375679.055714913</v>
      </c>
      <c r="D109" s="172">
        <f t="shared" si="16"/>
        <v>9243865.4394715354</v>
      </c>
      <c r="E109" s="172">
        <f t="shared" si="17"/>
        <v>45131813.616243377</v>
      </c>
      <c r="F109" s="63"/>
      <c r="G109" s="172">
        <f>[4]Delay_Calcs!U75</f>
        <v>981.77074304446376</v>
      </c>
      <c r="H109" s="172">
        <f>[4]Delay_Calcs!V75</f>
        <v>186.07982206723057</v>
      </c>
      <c r="I109" s="172">
        <f t="shared" si="18"/>
        <v>1167.8505651116943</v>
      </c>
      <c r="K109" s="172">
        <f>[4]Delay_Calcs!S26+[4]Delay_Calcs!AL26</f>
        <v>572788.86887927842</v>
      </c>
      <c r="L109" s="172">
        <f>[4]Delay_Calcs!T26+[4]Delay_Calcs!AM26</f>
        <v>52626.182891772696</v>
      </c>
      <c r="M109" s="172">
        <f t="shared" si="19"/>
        <v>625415.05177105113</v>
      </c>
      <c r="O109" s="172">
        <f t="shared" si="14"/>
        <v>573770.63962232287</v>
      </c>
      <c r="P109" s="172">
        <f t="shared" si="14"/>
        <v>52812.262713839926</v>
      </c>
      <c r="Q109" s="172">
        <f t="shared" si="20"/>
        <v>626582.90233616275</v>
      </c>
    </row>
    <row r="110" spans="1:17">
      <c r="A110" s="573">
        <v>2039</v>
      </c>
      <c r="B110" s="171">
        <v>151362.19019601785</v>
      </c>
      <c r="C110" s="172">
        <f t="shared" si="15"/>
        <v>55247199.421546519</v>
      </c>
      <c r="D110" s="172">
        <f t="shared" si="16"/>
        <v>9392023.9016629085</v>
      </c>
      <c r="E110" s="172">
        <f t="shared" si="17"/>
        <v>45855175.51988361</v>
      </c>
      <c r="F110" s="63"/>
      <c r="G110" s="172">
        <f>[4]Delay_Calcs!U76</f>
        <v>999.66388896448723</v>
      </c>
      <c r="H110" s="172">
        <f>[4]Delay_Calcs!V76</f>
        <v>189.21385826398065</v>
      </c>
      <c r="I110" s="172">
        <f t="shared" si="18"/>
        <v>1188.8777472284678</v>
      </c>
      <c r="K110" s="172">
        <f>[4]Delay_Calcs!S27+[4]Delay_Calcs!AL27</f>
        <v>603429.44646902848</v>
      </c>
      <c r="L110" s="172">
        <f>[4]Delay_Calcs!T27+[4]Delay_Calcs!AM27</f>
        <v>53786.834320171591</v>
      </c>
      <c r="M110" s="172">
        <f t="shared" si="19"/>
        <v>657216.2807892001</v>
      </c>
      <c r="O110" s="172">
        <f t="shared" si="14"/>
        <v>604429.11035799293</v>
      </c>
      <c r="P110" s="172">
        <f t="shared" si="14"/>
        <v>53976.048178435572</v>
      </c>
      <c r="Q110" s="172">
        <f t="shared" si="20"/>
        <v>658405.15853642847</v>
      </c>
    </row>
    <row r="111" spans="1:17">
      <c r="A111" s="573">
        <v>2040</v>
      </c>
      <c r="B111" s="171">
        <v>153788.20000000001</v>
      </c>
      <c r="C111" s="172">
        <f t="shared" si="15"/>
        <v>56132693.000000007</v>
      </c>
      <c r="D111" s="172">
        <f t="shared" si="16"/>
        <v>9542557.8100000024</v>
      </c>
      <c r="E111" s="172">
        <f t="shared" si="17"/>
        <v>46590135.190000005</v>
      </c>
      <c r="F111" s="63"/>
      <c r="G111" s="172">
        <f>[4]Delay_Calcs!U77</f>
        <v>1017.9237795023597</v>
      </c>
      <c r="H111" s="172">
        <f>[4]Delay_Calcs!V77</f>
        <v>192.40336617699805</v>
      </c>
      <c r="I111" s="172">
        <f t="shared" si="18"/>
        <v>1210.3271456793577</v>
      </c>
      <c r="K111" s="172">
        <f>[4]Delay_Calcs!S28+[4]Delay_Calcs!AL28</f>
        <v>637143.90522311383</v>
      </c>
      <c r="L111" s="172">
        <f>[4]Delay_Calcs!T28+[4]Delay_Calcs!AM28</f>
        <v>54980.438328397089</v>
      </c>
      <c r="M111" s="172">
        <f t="shared" si="19"/>
        <v>692124.34355151094</v>
      </c>
      <c r="O111" s="172">
        <f t="shared" si="14"/>
        <v>638161.82900261623</v>
      </c>
      <c r="P111" s="172">
        <f t="shared" si="14"/>
        <v>55172.84169457409</v>
      </c>
      <c r="Q111" s="172">
        <f t="shared" si="20"/>
        <v>693334.67069719033</v>
      </c>
    </row>
    <row r="112" spans="1:17">
      <c r="A112" s="573">
        <v>2041</v>
      </c>
      <c r="B112" s="171">
        <v>155130.30742767773</v>
      </c>
      <c r="C112" s="172">
        <f t="shared" si="15"/>
        <v>56622562.211102374</v>
      </c>
      <c r="D112" s="172">
        <f t="shared" si="16"/>
        <v>9625835.5758874044</v>
      </c>
      <c r="E112" s="172">
        <f t="shared" si="17"/>
        <v>46996726.63521497</v>
      </c>
      <c r="F112" s="63"/>
      <c r="G112" s="172">
        <f>[4]Delay_Calcs!U78</f>
        <v>1028.3959300066463</v>
      </c>
      <c r="H112" s="172">
        <f>[4]Delay_Calcs!V78</f>
        <v>194.22858631664786</v>
      </c>
      <c r="I112" s="172">
        <f t="shared" si="18"/>
        <v>1222.6245163232941</v>
      </c>
      <c r="K112" s="172">
        <f>[4]Delay_Calcs!S29+[4]Delay_Calcs!AL29</f>
        <v>657718.39414982731</v>
      </c>
      <c r="L112" s="172">
        <f>[4]Delay_Calcs!T29+[4]Delay_Calcs!AM29</f>
        <v>55669.198508796078</v>
      </c>
      <c r="M112" s="172">
        <f t="shared" si="19"/>
        <v>713387.59265862335</v>
      </c>
      <c r="O112" s="172">
        <f t="shared" si="14"/>
        <v>658746.79007983394</v>
      </c>
      <c r="P112" s="172">
        <f t="shared" si="14"/>
        <v>55863.427095112726</v>
      </c>
      <c r="Q112" s="172">
        <f t="shared" si="20"/>
        <v>714610.21717494668</v>
      </c>
    </row>
    <row r="113" spans="1:25">
      <c r="A113" s="573">
        <v>2042</v>
      </c>
      <c r="B113" s="171">
        <v>156484.43366143969</v>
      </c>
      <c r="C113" s="172">
        <f t="shared" si="15"/>
        <v>57116818.286425486</v>
      </c>
      <c r="D113" s="172">
        <f t="shared" si="16"/>
        <v>9709859.1086923331</v>
      </c>
      <c r="E113" s="172">
        <f t="shared" si="17"/>
        <v>47406959.177733153</v>
      </c>
      <c r="F113" s="63"/>
      <c r="G113" s="172">
        <f>[4]Delay_Calcs!U79</f>
        <v>1038.9894572984595</v>
      </c>
      <c r="H113" s="172">
        <f>[4]Delay_Calcs!V79</f>
        <v>196.07201796219826</v>
      </c>
      <c r="I113" s="172">
        <f t="shared" si="18"/>
        <v>1235.0614752606577</v>
      </c>
      <c r="K113" s="172">
        <f>[4]Delay_Calcs!S30+[4]Delay_Calcs!AL30</f>
        <v>679539.38775842695</v>
      </c>
      <c r="L113" s="172">
        <f>[4]Delay_Calcs!T30+[4]Delay_Calcs!AM30</f>
        <v>56369.101254256908</v>
      </c>
      <c r="M113" s="172">
        <f t="shared" si="19"/>
        <v>735908.48901268386</v>
      </c>
      <c r="O113" s="172">
        <f t="shared" si="14"/>
        <v>680578.37721572537</v>
      </c>
      <c r="P113" s="172">
        <f t="shared" si="14"/>
        <v>56565.173272219108</v>
      </c>
      <c r="Q113" s="172">
        <f t="shared" si="20"/>
        <v>737143.55048794451</v>
      </c>
    </row>
    <row r="114" spans="1:25">
      <c r="A114" s="573">
        <v>2043</v>
      </c>
      <c r="B114" s="171">
        <v>157850.68748102745</v>
      </c>
      <c r="C114" s="172">
        <f t="shared" si="15"/>
        <v>57615500.930575021</v>
      </c>
      <c r="D114" s="172">
        <f t="shared" si="16"/>
        <v>9794635.158197755</v>
      </c>
      <c r="E114" s="172">
        <f t="shared" si="17"/>
        <v>47820865.772377267</v>
      </c>
      <c r="F114" s="63"/>
      <c r="G114" s="172">
        <f>[4]Delay_Calcs!U80</f>
        <v>1049.7060512349772</v>
      </c>
      <c r="H114" s="172">
        <f>[4]Delay_Calcs!V80</f>
        <v>197.93385993705499</v>
      </c>
      <c r="I114" s="172">
        <f t="shared" si="18"/>
        <v>1247.639911172032</v>
      </c>
      <c r="K114" s="172">
        <f>[4]Delay_Calcs!S31+[4]Delay_Calcs!AL31</f>
        <v>702728.78668108024</v>
      </c>
      <c r="L114" s="172">
        <f>[4]Delay_Calcs!T31+[4]Delay_Calcs!AM31</f>
        <v>57080.392091340858</v>
      </c>
      <c r="M114" s="172">
        <f t="shared" si="19"/>
        <v>759809.17877242109</v>
      </c>
      <c r="O114" s="172">
        <f t="shared" si="14"/>
        <v>703778.49273231521</v>
      </c>
      <c r="P114" s="172">
        <f t="shared" si="14"/>
        <v>57278.325951277911</v>
      </c>
      <c r="Q114" s="172">
        <f t="shared" si="20"/>
        <v>761056.81868359307</v>
      </c>
    </row>
    <row r="115" spans="1:25">
      <c r="A115" s="573">
        <v>2044</v>
      </c>
      <c r="B115" s="171">
        <v>159229.17865499976</v>
      </c>
      <c r="C115" s="172">
        <f t="shared" si="15"/>
        <v>58118650.209074914</v>
      </c>
      <c r="D115" s="172">
        <f t="shared" si="16"/>
        <v>9880170.5355427358</v>
      </c>
      <c r="E115" s="172">
        <f t="shared" si="17"/>
        <v>48238479.67353218</v>
      </c>
      <c r="F115" s="63"/>
      <c r="G115" s="172">
        <f>[4]Delay_Calcs!U81</f>
        <v>1060.5474311701105</v>
      </c>
      <c r="H115" s="172">
        <f>[4]Delay_Calcs!V81</f>
        <v>199.81431356305757</v>
      </c>
      <c r="I115" s="172">
        <f t="shared" si="18"/>
        <v>1260.3617447331681</v>
      </c>
      <c r="K115" s="172">
        <f>[4]Delay_Calcs!S32+[4]Delay_Calcs!AL32</f>
        <v>727425.43162076327</v>
      </c>
      <c r="L115" s="172">
        <f>[4]Delay_Calcs!T32+[4]Delay_Calcs!AM32</f>
        <v>57803.3237828645</v>
      </c>
      <c r="M115" s="172">
        <f t="shared" si="19"/>
        <v>785228.75540362776</v>
      </c>
      <c r="O115" s="172">
        <f t="shared" si="14"/>
        <v>728485.97905193339</v>
      </c>
      <c r="P115" s="172">
        <f t="shared" si="14"/>
        <v>58003.13809642756</v>
      </c>
      <c r="Q115" s="172">
        <f t="shared" si="20"/>
        <v>786489.11714836094</v>
      </c>
    </row>
    <row r="116" spans="1:25">
      <c r="A116" s="573">
        <v>2045</v>
      </c>
      <c r="B116" s="171">
        <v>160620.01794973694</v>
      </c>
      <c r="C116" s="172">
        <f t="shared" si="15"/>
        <v>58626306.551653981</v>
      </c>
      <c r="D116" s="172">
        <f t="shared" si="16"/>
        <v>9966472.1137811784</v>
      </c>
      <c r="E116" s="172">
        <f t="shared" si="17"/>
        <v>48659834.437872805</v>
      </c>
      <c r="F116" s="63"/>
      <c r="G116" s="172">
        <f>[4]Delay_Calcs!U82</f>
        <v>1071.5153465979611</v>
      </c>
      <c r="H116" s="172">
        <f>[4]Delay_Calcs!V82</f>
        <v>201.71358269810878</v>
      </c>
      <c r="I116" s="172">
        <f t="shared" si="18"/>
        <v>1273.22892929607</v>
      </c>
      <c r="K116" s="172">
        <f>[4]Delay_Calcs!S33+[4]Delay_Calcs!AL33</f>
        <v>753788.20199218532</v>
      </c>
      <c r="L116" s="172">
        <f>[4]Delay_Calcs!T33+[4]Delay_Calcs!AM33</f>
        <v>58538.156599312802</v>
      </c>
      <c r="M116" s="172">
        <f t="shared" si="19"/>
        <v>812326.35859149811</v>
      </c>
      <c r="O116" s="172">
        <f t="shared" si="14"/>
        <v>754859.71733878332</v>
      </c>
      <c r="P116" s="172">
        <f t="shared" si="14"/>
        <v>58739.870182010913</v>
      </c>
      <c r="Q116" s="172">
        <f t="shared" si="20"/>
        <v>813599.58752079424</v>
      </c>
    </row>
    <row r="117" spans="1:25">
      <c r="A117" s="573">
        <v>2046</v>
      </c>
      <c r="B117" s="171">
        <v>162023.31713852807</v>
      </c>
      <c r="C117" s="172">
        <f t="shared" si="15"/>
        <v>59138510.755562745</v>
      </c>
      <c r="D117" s="172">
        <f t="shared" si="16"/>
        <v>10053546.828445667</v>
      </c>
      <c r="E117" s="172">
        <f t="shared" si="17"/>
        <v>49084963.927117079</v>
      </c>
      <c r="F117" s="63"/>
      <c r="G117" s="172">
        <f>[4]Delay_Calcs!U83</f>
        <v>1082.6115778132726</v>
      </c>
      <c r="H117" s="172">
        <f>[4]Delay_Calcs!V83</f>
        <v>203.63187377448756</v>
      </c>
      <c r="I117" s="172">
        <f t="shared" si="18"/>
        <v>1286.2434515877601</v>
      </c>
      <c r="K117" s="172">
        <f>[4]Delay_Calcs!S34+[4]Delay_Calcs!AL34</f>
        <v>781999.82637810661</v>
      </c>
      <c r="L117" s="172">
        <f>[4]Delay_Calcs!T34+[4]Delay_Calcs!AM34</f>
        <v>59285.158602670323</v>
      </c>
      <c r="M117" s="172">
        <f t="shared" si="19"/>
        <v>841284.98498077691</v>
      </c>
      <c r="O117" s="172">
        <f t="shared" si="14"/>
        <v>783082.43795591989</v>
      </c>
      <c r="P117" s="172">
        <f t="shared" si="14"/>
        <v>59488.79047644481</v>
      </c>
      <c r="Q117" s="172">
        <f t="shared" si="20"/>
        <v>842571.22843236465</v>
      </c>
    </row>
    <row r="118" spans="1:25">
      <c r="A118" s="573">
        <v>2047</v>
      </c>
      <c r="B118" s="171">
        <v>163439.18901074043</v>
      </c>
      <c r="C118" s="172">
        <f t="shared" si="15"/>
        <v>59655303.988920256</v>
      </c>
      <c r="D118" s="172">
        <f t="shared" si="16"/>
        <v>10141401.678116444</v>
      </c>
      <c r="E118" s="172">
        <f t="shared" si="17"/>
        <v>49513902.310803816</v>
      </c>
      <c r="F118" s="63"/>
      <c r="G118" s="172">
        <f>[4]Delay_Calcs!U84</f>
        <v>1093.8379365894043</v>
      </c>
      <c r="H118" s="172">
        <f>[4]Delay_Calcs!V84</f>
        <v>205.56939583786109</v>
      </c>
      <c r="I118" s="172">
        <f t="shared" si="18"/>
        <v>1299.4073324272654</v>
      </c>
      <c r="K118" s="172">
        <f>[4]Delay_Calcs!S35+[4]Delay_Calcs!AL35</f>
        <v>812271.60396243469</v>
      </c>
      <c r="L118" s="172">
        <f>[4]Delay_Calcs!T35+[4]Delay_Calcs!AM35</f>
        <v>60044.605943343835</v>
      </c>
      <c r="M118" s="172">
        <f t="shared" si="19"/>
        <v>872316.20990577852</v>
      </c>
      <c r="O118" s="172">
        <f t="shared" si="14"/>
        <v>813365.44189902407</v>
      </c>
      <c r="P118" s="172">
        <f t="shared" si="14"/>
        <v>60250.175339181696</v>
      </c>
      <c r="Q118" s="172">
        <f t="shared" si="20"/>
        <v>873615.61723820574</v>
      </c>
    </row>
    <row r="119" spans="1:25">
      <c r="A119" s="573">
        <v>2048</v>
      </c>
      <c r="B119" s="171">
        <v>164867.74738107275</v>
      </c>
      <c r="C119" s="172">
        <f t="shared" si="15"/>
        <v>60176727.794091552</v>
      </c>
      <c r="D119" s="172">
        <f t="shared" si="16"/>
        <v>10230043.724995565</v>
      </c>
      <c r="E119" s="172">
        <f t="shared" si="17"/>
        <v>49946684.069095984</v>
      </c>
      <c r="F119" s="63"/>
      <c r="G119" s="172">
        <f>[4]Delay_Calcs!U85</f>
        <v>1105.1962668743715</v>
      </c>
      <c r="H119" s="172">
        <f>[4]Delay_Calcs!V85</f>
        <v>207.52636058701057</v>
      </c>
      <c r="I119" s="172">
        <f t="shared" si="18"/>
        <v>1312.7226274613822</v>
      </c>
      <c r="K119" s="172">
        <f>[4]Delay_Calcs!S36+[4]Delay_Calcs!AL36</f>
        <v>844849.30256370082</v>
      </c>
      <c r="L119" s="172">
        <f>[4]Delay_Calcs!T36+[4]Delay_Calcs!AM36</f>
        <v>60816.783170891169</v>
      </c>
      <c r="M119" s="172">
        <f t="shared" si="19"/>
        <v>905666.08573459205</v>
      </c>
      <c r="O119" s="172">
        <f t="shared" si="14"/>
        <v>845954.49883057515</v>
      </c>
      <c r="P119" s="172">
        <f t="shared" si="14"/>
        <v>61024.309531478182</v>
      </c>
      <c r="Q119" s="172">
        <f t="shared" si="20"/>
        <v>906978.80836205336</v>
      </c>
    </row>
    <row r="120" spans="1:25">
      <c r="A120" s="573">
        <v>2049</v>
      </c>
      <c r="B120" s="171">
        <v>166309.10709889285</v>
      </c>
      <c r="C120" s="172">
        <f t="shared" si="15"/>
        <v>60702824.091095895</v>
      </c>
      <c r="D120" s="172">
        <f t="shared" si="16"/>
        <v>10319480.095486302</v>
      </c>
      <c r="E120" s="172">
        <f t="shared" si="17"/>
        <v>50383343.995609596</v>
      </c>
      <c r="F120" s="63"/>
      <c r="G120" s="172">
        <f>[4]Delay_Calcs!U86</f>
        <v>1116.6884455055192</v>
      </c>
      <c r="H120" s="172">
        <f>[4]Delay_Calcs!V86</f>
        <v>209.50298241428601</v>
      </c>
      <c r="I120" s="172">
        <f t="shared" si="18"/>
        <v>1326.1914279198052</v>
      </c>
      <c r="K120" s="172">
        <f>[4]Delay_Calcs!S37+[4]Delay_Calcs!AL37</f>
        <v>880020.59141514031</v>
      </c>
      <c r="L120" s="172">
        <f>[4]Delay_Calcs!T37+[4]Delay_Calcs!AM37</f>
        <v>61601.983559317072</v>
      </c>
      <c r="M120" s="172">
        <f t="shared" si="19"/>
        <v>941622.57497445738</v>
      </c>
      <c r="O120" s="172">
        <f t="shared" si="14"/>
        <v>881137.27986064588</v>
      </c>
      <c r="P120" s="172">
        <f t="shared" si="14"/>
        <v>61811.486541731356</v>
      </c>
      <c r="Q120" s="172">
        <f t="shared" si="20"/>
        <v>942948.76640237728</v>
      </c>
    </row>
    <row r="121" spans="1:25">
      <c r="A121" s="573">
        <v>2050</v>
      </c>
      <c r="B121" s="171">
        <v>167763.38405766038</v>
      </c>
      <c r="C121" s="172">
        <f t="shared" si="15"/>
        <v>61233635.181046039</v>
      </c>
      <c r="D121" s="172">
        <f t="shared" si="16"/>
        <v>10409717.980777828</v>
      </c>
      <c r="E121" s="172">
        <f t="shared" si="17"/>
        <v>50823917.200268209</v>
      </c>
      <c r="F121" s="63"/>
      <c r="G121" s="172">
        <f>[4]Delay_Calcs!U87</f>
        <v>1128.3163829434102</v>
      </c>
      <c r="H121" s="172">
        <f>[4]Delay_Calcs!V87</f>
        <v>211.49947844680622</v>
      </c>
      <c r="I121" s="172">
        <f t="shared" si="18"/>
        <v>1339.8158613902165</v>
      </c>
      <c r="K121" s="172">
        <f>[4]Delay_Calcs!S38+[4]Delay_Calcs!AL38</f>
        <v>918124.49729662132</v>
      </c>
      <c r="L121" s="172">
        <f>[4]Delay_Calcs!T38+[4]Delay_Calcs!AM38</f>
        <v>62400.509447745135</v>
      </c>
      <c r="M121" s="172">
        <f t="shared" si="19"/>
        <v>980525.00674436649</v>
      </c>
      <c r="O121" s="172">
        <f t="shared" si="14"/>
        <v>919252.81367956474</v>
      </c>
      <c r="P121" s="172">
        <f t="shared" si="14"/>
        <v>62612.008926191942</v>
      </c>
      <c r="Q121" s="172">
        <f t="shared" si="20"/>
        <v>981864.82260575669</v>
      </c>
    </row>
    <row r="122" spans="1:25">
      <c r="A122" s="573">
        <v>2051</v>
      </c>
      <c r="B122" s="171">
        <v>169230.69520443527</v>
      </c>
      <c r="C122" s="172">
        <f t="shared" si="15"/>
        <v>61769203.749618873</v>
      </c>
      <c r="D122" s="172">
        <f t="shared" si="16"/>
        <v>10500764.637435209</v>
      </c>
      <c r="E122" s="172">
        <f t="shared" si="17"/>
        <v>51268439.11218366</v>
      </c>
      <c r="F122" s="63"/>
      <c r="G122" s="172">
        <f>[4]Delay_Calcs!U88</f>
        <v>1140.08202402554</v>
      </c>
      <c r="H122" s="172">
        <f>[4]Delay_Calcs!V88</f>
        <v>213.51606858841987</v>
      </c>
      <c r="I122" s="172">
        <f t="shared" si="18"/>
        <v>1353.5980926139598</v>
      </c>
      <c r="K122" s="172">
        <f>[4]Delay_Calcs!S39+[4]Delay_Calcs!AL39</f>
        <v>959563.55913316295</v>
      </c>
      <c r="L122" s="172">
        <f>[4]Delay_Calcs!T39+[4]Delay_Calcs!AM39</f>
        <v>63212.672597326717</v>
      </c>
      <c r="M122" s="172">
        <f t="shared" si="19"/>
        <v>1022776.2317304896</v>
      </c>
      <c r="O122" s="172">
        <f t="shared" si="14"/>
        <v>960703.64115718845</v>
      </c>
      <c r="P122" s="172">
        <f t="shared" si="14"/>
        <v>63426.188665915135</v>
      </c>
      <c r="Q122" s="172">
        <f t="shared" si="20"/>
        <v>1024129.8298231036</v>
      </c>
    </row>
    <row r="123" spans="1:25">
      <c r="A123" s="573">
        <v>2052</v>
      </c>
      <c r="B123" s="171">
        <v>170711.15854947286</v>
      </c>
      <c r="C123" s="172">
        <f t="shared" si="15"/>
        <v>62309572.870557599</v>
      </c>
      <c r="D123" s="172">
        <f t="shared" si="16"/>
        <v>10592627.387994792</v>
      </c>
      <c r="E123" s="172">
        <f t="shared" si="17"/>
        <v>51716945.48256281</v>
      </c>
      <c r="F123" s="63"/>
      <c r="G123" s="172">
        <f>[4]Delay_Calcs!U89</f>
        <v>1151.9873487405032</v>
      </c>
      <c r="H123" s="172">
        <f>[4]Delay_Calcs!V89</f>
        <v>215.55297556244449</v>
      </c>
      <c r="I123" s="172">
        <f t="shared" si="18"/>
        <v>1367.5403243029477</v>
      </c>
      <c r="K123" s="172">
        <f>[4]Delay_Calcs!S40+[4]Delay_Calcs!AL40</f>
        <v>1004819.6268419762</v>
      </c>
      <c r="L123" s="172">
        <f>[4]Delay_Calcs!T40+[4]Delay_Calcs!AM40</f>
        <v>64038.794565304182</v>
      </c>
      <c r="M123" s="172">
        <f t="shared" si="19"/>
        <v>1068858.4214072805</v>
      </c>
      <c r="O123" s="172">
        <f t="shared" si="14"/>
        <v>1005971.6141907166</v>
      </c>
      <c r="P123" s="172">
        <f t="shared" si="14"/>
        <v>64254.347540866627</v>
      </c>
      <c r="Q123" s="172">
        <f t="shared" si="20"/>
        <v>1070225.9617315833</v>
      </c>
    </row>
    <row r="124" spans="1:25">
      <c r="A124" s="573">
        <v>2053</v>
      </c>
      <c r="B124" s="171">
        <v>172204.89317590668</v>
      </c>
      <c r="C124" s="172">
        <f t="shared" si="15"/>
        <v>62854786.009205937</v>
      </c>
      <c r="D124" s="172">
        <f t="shared" si="16"/>
        <v>10685313.62156501</v>
      </c>
      <c r="E124" s="172">
        <f t="shared" si="17"/>
        <v>52169472.387640923</v>
      </c>
      <c r="F124" s="63"/>
      <c r="G124" s="172">
        <f>[4]Delay_Calcs!U90</f>
        <v>1164.0343730232601</v>
      </c>
      <c r="H124" s="172">
        <f>[4]Delay_Calcs!V90</f>
        <v>217.6104249551999</v>
      </c>
      <c r="I124" s="172">
        <f t="shared" si="18"/>
        <v>1381.64479797846</v>
      </c>
      <c r="K124" s="172">
        <f>[4]Delay_Calcs!S41+[4]Delay_Calcs!AL41</f>
        <v>1054474.6494664021</v>
      </c>
      <c r="L124" s="172">
        <f>[4]Delay_Calcs!T41+[4]Delay_Calcs!AM41</f>
        <v>64879.207097205763</v>
      </c>
      <c r="M124" s="172">
        <f t="shared" si="19"/>
        <v>1119353.8565636079</v>
      </c>
      <c r="O124" s="172">
        <f t="shared" si="14"/>
        <v>1055638.6838394254</v>
      </c>
      <c r="P124" s="172">
        <f t="shared" si="14"/>
        <v>65096.817522160964</v>
      </c>
      <c r="Q124" s="172">
        <f t="shared" si="20"/>
        <v>1120735.5013615864</v>
      </c>
    </row>
    <row r="125" spans="1:25">
      <c r="A125" s="573">
        <v>2054</v>
      </c>
      <c r="B125" s="171">
        <v>173712.01924951951</v>
      </c>
      <c r="C125" s="172">
        <f t="shared" si="15"/>
        <v>63404887.026074618</v>
      </c>
      <c r="D125" s="172">
        <f t="shared" si="16"/>
        <v>10778830.794432687</v>
      </c>
      <c r="E125" s="172">
        <f t="shared" si="17"/>
        <v>52626056.231641933</v>
      </c>
      <c r="F125" s="63"/>
      <c r="G125" s="172">
        <f>[4]Delay_Calcs!U91</f>
        <v>1176.2251495721855</v>
      </c>
      <c r="H125" s="172">
        <f>[4]Delay_Calcs!V91</f>
        <v>219.68864526035426</v>
      </c>
      <c r="I125" s="172">
        <f t="shared" si="18"/>
        <v>1395.9137948325397</v>
      </c>
      <c r="K125" s="172">
        <f>[4]Delay_Calcs!S42+[4]Delay_Calcs!AL42</f>
        <v>1109238.3971575059</v>
      </c>
      <c r="L125" s="172">
        <f>[4]Delay_Calcs!T42+[4]Delay_Calcs!AM42</f>
        <v>65734.252538213346</v>
      </c>
      <c r="M125" s="172">
        <f t="shared" si="19"/>
        <v>1174972.6496957191</v>
      </c>
      <c r="O125" s="172">
        <f t="shared" si="14"/>
        <v>1110414.622307078</v>
      </c>
      <c r="P125" s="172">
        <f t="shared" si="14"/>
        <v>65953.941183473697</v>
      </c>
      <c r="Q125" s="172">
        <f t="shared" si="20"/>
        <v>1176368.5634905517</v>
      </c>
    </row>
    <row r="126" spans="1:25">
      <c r="A126" s="573">
        <v>2055</v>
      </c>
      <c r="B126" s="171">
        <v>175232.65802860321</v>
      </c>
      <c r="C126" s="172">
        <f t="shared" si="15"/>
        <v>63959920.180440173</v>
      </c>
      <c r="D126" s="172">
        <f t="shared" si="16"/>
        <v>10873186.43067483</v>
      </c>
      <c r="E126" s="172">
        <f t="shared" si="17"/>
        <v>53086733.749765344</v>
      </c>
      <c r="F126" s="63"/>
      <c r="G126" s="172">
        <f>[4]Delay_Calcs!U92</f>
        <v>1188.5617686885917</v>
      </c>
      <c r="H126" s="172">
        <f>[4]Delay_Calcs!V92</f>
        <v>221.78786792410025</v>
      </c>
      <c r="I126" s="172">
        <f t="shared" si="18"/>
        <v>1410.3496366126919</v>
      </c>
      <c r="K126" s="172">
        <f>[4]Delay_Calcs!S43+[4]Delay_Calcs!AL43</f>
        <v>1169985.9795753725</v>
      </c>
      <c r="L126" s="172">
        <f>[4]Delay_Calcs!T43+[4]Delay_Calcs!AM43</f>
        <v>66604.284264815011</v>
      </c>
      <c r="M126" s="172">
        <f t="shared" si="19"/>
        <v>1236590.2638401876</v>
      </c>
      <c r="O126" s="172">
        <f t="shared" si="14"/>
        <v>1171174.541344061</v>
      </c>
      <c r="P126" s="172">
        <f t="shared" si="14"/>
        <v>66826.072132739107</v>
      </c>
      <c r="Q126" s="172">
        <f t="shared" si="20"/>
        <v>1238000.6134768</v>
      </c>
    </row>
    <row r="127" spans="1:25">
      <c r="A127" s="141"/>
      <c r="B127" s="141"/>
      <c r="C127" s="134"/>
      <c r="D127" s="141"/>
      <c r="E127" s="141"/>
      <c r="V127" s="126"/>
      <c r="W127" s="126"/>
      <c r="X127" s="113"/>
      <c r="Y127" s="113"/>
    </row>
    <row r="128" spans="1:25">
      <c r="A128" s="141"/>
      <c r="B128" s="141"/>
      <c r="C128" s="134"/>
      <c r="D128" s="141"/>
      <c r="E128" s="141"/>
    </row>
    <row r="129" spans="1:41" s="167" customFormat="1">
      <c r="A129" s="163"/>
      <c r="B129" s="164"/>
      <c r="C129" s="165"/>
      <c r="D129" s="164"/>
      <c r="E129" s="166"/>
      <c r="M129" s="168"/>
    </row>
    <row r="130" spans="1:41">
      <c r="A130" s="660" t="s">
        <v>173</v>
      </c>
      <c r="B130" s="660"/>
      <c r="C130" s="134"/>
      <c r="D130" s="141"/>
      <c r="E130" s="141"/>
    </row>
    <row r="131" spans="1:41">
      <c r="A131" s="660"/>
      <c r="B131" s="660"/>
      <c r="C131" s="134"/>
      <c r="D131" s="141"/>
      <c r="E131" s="141"/>
    </row>
    <row r="132" spans="1:41">
      <c r="A132" s="133"/>
      <c r="B132" s="133"/>
      <c r="C132" s="134"/>
      <c r="D132" s="141"/>
      <c r="E132" s="141"/>
    </row>
    <row r="133" spans="1:41">
      <c r="A133" s="133"/>
      <c r="B133" s="133"/>
      <c r="C133" s="134"/>
      <c r="D133" s="175"/>
      <c r="E133" s="141"/>
    </row>
    <row r="134" spans="1:41">
      <c r="A134" s="133"/>
      <c r="B134" s="133"/>
      <c r="C134" s="134"/>
      <c r="D134" s="169"/>
      <c r="E134" s="141"/>
      <c r="M134" s="5"/>
      <c r="N134" s="5"/>
      <c r="O134" s="5"/>
      <c r="P134" s="5"/>
      <c r="Q134" s="5"/>
      <c r="R134" s="63"/>
      <c r="S134" s="669" t="s">
        <v>174</v>
      </c>
      <c r="T134" s="669"/>
      <c r="U134" s="669"/>
      <c r="V134" s="669"/>
      <c r="W134" s="669"/>
      <c r="X134" s="63"/>
      <c r="Y134" s="661" t="s">
        <v>175</v>
      </c>
      <c r="Z134" s="662"/>
      <c r="AA134" s="662"/>
      <c r="AB134" s="662"/>
      <c r="AC134" s="663"/>
      <c r="AE134" s="661" t="s">
        <v>176</v>
      </c>
      <c r="AF134" s="662"/>
      <c r="AG134" s="662"/>
      <c r="AH134" s="662"/>
      <c r="AI134" s="663"/>
      <c r="AK134" s="661" t="s">
        <v>177</v>
      </c>
      <c r="AL134" s="662"/>
      <c r="AM134" s="662"/>
      <c r="AN134" s="662"/>
      <c r="AO134" s="663"/>
    </row>
    <row r="135" spans="1:41">
      <c r="A135" s="664" t="s">
        <v>178</v>
      </c>
      <c r="B135" s="665"/>
      <c r="C135" s="665"/>
      <c r="D135" s="665"/>
      <c r="E135" s="666"/>
      <c r="G135" s="664" t="s">
        <v>179</v>
      </c>
      <c r="H135" s="665"/>
      <c r="I135" s="665"/>
      <c r="J135" s="665"/>
      <c r="K135" s="666"/>
      <c r="M135" s="664" t="s">
        <v>180</v>
      </c>
      <c r="N135" s="665"/>
      <c r="O135" s="665"/>
      <c r="P135" s="665"/>
      <c r="Q135" s="666"/>
      <c r="R135" s="88"/>
      <c r="S135" s="668" t="s">
        <v>181</v>
      </c>
      <c r="T135" s="668"/>
      <c r="U135" s="668" t="s">
        <v>165</v>
      </c>
      <c r="V135" s="668"/>
      <c r="W135" s="668"/>
      <c r="X135" s="88"/>
      <c r="Y135" s="641" t="s">
        <v>181</v>
      </c>
      <c r="Z135" s="642"/>
      <c r="AA135" s="641" t="s">
        <v>165</v>
      </c>
      <c r="AB135" s="667"/>
      <c r="AC135" s="642"/>
      <c r="AE135" s="641" t="s">
        <v>181</v>
      </c>
      <c r="AF135" s="642"/>
      <c r="AG135" s="641" t="s">
        <v>165</v>
      </c>
      <c r="AH135" s="667"/>
      <c r="AI135" s="642"/>
      <c r="AK135" s="641" t="s">
        <v>181</v>
      </c>
      <c r="AL135" s="642"/>
      <c r="AM135" s="641" t="s">
        <v>165</v>
      </c>
      <c r="AN135" s="667"/>
      <c r="AO135" s="642"/>
    </row>
    <row r="136" spans="1:41">
      <c r="A136" s="573" t="s">
        <v>76</v>
      </c>
      <c r="B136" s="573" t="s">
        <v>166</v>
      </c>
      <c r="C136" s="569" t="s">
        <v>167</v>
      </c>
      <c r="D136" s="569" t="s">
        <v>168</v>
      </c>
      <c r="E136" s="569" t="s">
        <v>169</v>
      </c>
      <c r="G136" s="573" t="s">
        <v>76</v>
      </c>
      <c r="H136" s="573" t="s">
        <v>166</v>
      </c>
      <c r="I136" s="569" t="s">
        <v>167</v>
      </c>
      <c r="J136" s="569" t="s">
        <v>168</v>
      </c>
      <c r="K136" s="569" t="s">
        <v>169</v>
      </c>
      <c r="L136" s="88"/>
      <c r="M136" s="573" t="s">
        <v>76</v>
      </c>
      <c r="N136" s="573" t="s">
        <v>166</v>
      </c>
      <c r="O136" s="569" t="s">
        <v>167</v>
      </c>
      <c r="P136" s="569" t="s">
        <v>168</v>
      </c>
      <c r="Q136" s="569" t="s">
        <v>169</v>
      </c>
      <c r="R136" s="88"/>
      <c r="S136" s="569" t="s">
        <v>170</v>
      </c>
      <c r="T136" s="569" t="s">
        <v>171</v>
      </c>
      <c r="U136" s="569" t="s">
        <v>170</v>
      </c>
      <c r="V136" s="569" t="s">
        <v>171</v>
      </c>
      <c r="W136" s="569" t="s">
        <v>172</v>
      </c>
      <c r="X136" s="88"/>
      <c r="Y136" s="569" t="s">
        <v>170</v>
      </c>
      <c r="Z136" s="569" t="s">
        <v>171</v>
      </c>
      <c r="AA136" s="569" t="s">
        <v>170</v>
      </c>
      <c r="AB136" s="569" t="s">
        <v>171</v>
      </c>
      <c r="AC136" s="569" t="s">
        <v>172</v>
      </c>
      <c r="AE136" s="569" t="s">
        <v>170</v>
      </c>
      <c r="AF136" s="569" t="s">
        <v>171</v>
      </c>
      <c r="AG136" s="569" t="s">
        <v>170</v>
      </c>
      <c r="AH136" s="569" t="s">
        <v>171</v>
      </c>
      <c r="AI136" s="569" t="s">
        <v>172</v>
      </c>
      <c r="AK136" s="569" t="s">
        <v>170</v>
      </c>
      <c r="AL136" s="569" t="s">
        <v>171</v>
      </c>
      <c r="AM136" s="569" t="s">
        <v>170</v>
      </c>
      <c r="AN136" s="569" t="s">
        <v>171</v>
      </c>
      <c r="AO136" s="569" t="s">
        <v>172</v>
      </c>
    </row>
    <row r="137" spans="1:41">
      <c r="A137" s="573">
        <v>2017</v>
      </c>
      <c r="B137" s="171">
        <v>34797.179707429001</v>
      </c>
      <c r="C137" s="172">
        <f>B137*365</f>
        <v>12700970.593211586</v>
      </c>
      <c r="D137" s="172">
        <f>C137*$B$6</f>
        <v>2159165.0008459697</v>
      </c>
      <c r="E137" s="172">
        <f>C137-D137</f>
        <v>10541805.592365615</v>
      </c>
      <c r="G137" s="573">
        <v>2017</v>
      </c>
      <c r="H137" s="171">
        <v>66425.202928504514</v>
      </c>
      <c r="I137" s="172">
        <f>H137*365</f>
        <v>24245199.068904147</v>
      </c>
      <c r="J137" s="172">
        <f>I137*$B$6</f>
        <v>4121683.8417137051</v>
      </c>
      <c r="K137" s="172">
        <f>I137-J137</f>
        <v>20123515.227190442</v>
      </c>
      <c r="L137" s="88"/>
      <c r="M137" s="573">
        <v>2017</v>
      </c>
      <c r="N137" s="176">
        <f>B137+H137</f>
        <v>101222.38263593352</v>
      </c>
      <c r="O137" s="172">
        <f>C137+I137</f>
        <v>36946169.66211573</v>
      </c>
      <c r="P137" s="172">
        <f t="shared" ref="P137:Q152" si="21">D137+J137</f>
        <v>6280848.8425596748</v>
      </c>
      <c r="Q137" s="172">
        <f t="shared" si="21"/>
        <v>30665320.819556057</v>
      </c>
      <c r="R137" s="88"/>
      <c r="S137" s="177">
        <v>0</v>
      </c>
      <c r="T137" s="177">
        <v>0</v>
      </c>
      <c r="U137" s="172">
        <f>(S137/60)*365</f>
        <v>0</v>
      </c>
      <c r="V137" s="172">
        <f>(T137/60)*365</f>
        <v>0</v>
      </c>
      <c r="W137" s="172">
        <f>U137+V137</f>
        <v>0</v>
      </c>
      <c r="X137" s="88"/>
      <c r="Y137" s="177">
        <v>0</v>
      </c>
      <c r="Z137" s="177">
        <v>0</v>
      </c>
      <c r="AA137" s="172">
        <f>(Y137/60)*365</f>
        <v>0</v>
      </c>
      <c r="AB137" s="172">
        <f>(Z137/60)*365</f>
        <v>0</v>
      </c>
      <c r="AC137" s="172">
        <f>AA137+AB137</f>
        <v>0</v>
      </c>
      <c r="AE137" s="177">
        <v>0</v>
      </c>
      <c r="AF137" s="177">
        <v>0</v>
      </c>
      <c r="AG137" s="172">
        <f>(AE137/60)*365</f>
        <v>0</v>
      </c>
      <c r="AH137" s="172">
        <f>(AF137/60)*365</f>
        <v>0</v>
      </c>
      <c r="AI137" s="172">
        <f>AG137+AH137</f>
        <v>0</v>
      </c>
      <c r="AK137" s="172">
        <f>S137+Y137+AE137</f>
        <v>0</v>
      </c>
      <c r="AL137" s="172">
        <f>T137+Z137+AF137</f>
        <v>0</v>
      </c>
      <c r="AM137" s="172">
        <f t="shared" ref="AM137:AN174" si="22">U137+AA137+AG137</f>
        <v>0</v>
      </c>
      <c r="AN137" s="172">
        <f t="shared" si="22"/>
        <v>0</v>
      </c>
      <c r="AO137" s="172">
        <f>AM137+AN137</f>
        <v>0</v>
      </c>
    </row>
    <row r="138" spans="1:41">
      <c r="A138" s="573">
        <v>2018</v>
      </c>
      <c r="B138" s="171">
        <v>35354.942815078168</v>
      </c>
      <c r="C138" s="172">
        <f t="shared" ref="C138:C175" si="23">B138*365</f>
        <v>12904554.127503531</v>
      </c>
      <c r="D138" s="172">
        <f t="shared" ref="D138:D175" si="24">C138*$B$6</f>
        <v>2193774.2016756004</v>
      </c>
      <c r="E138" s="172">
        <f t="shared" ref="E138:E175" si="25">C138-D138</f>
        <v>10710779.925827932</v>
      </c>
      <c r="G138" s="573">
        <v>2018</v>
      </c>
      <c r="H138" s="171">
        <v>67491.175447677568</v>
      </c>
      <c r="I138" s="172">
        <f t="shared" ref="I138:I175" si="26">H138*365</f>
        <v>24634279.038402312</v>
      </c>
      <c r="J138" s="172">
        <f t="shared" ref="J138:J175" si="27">I138*$B$6</f>
        <v>4187827.4365283931</v>
      </c>
      <c r="K138" s="172">
        <f t="shared" ref="K138:K175" si="28">I138-J138</f>
        <v>20446451.601873919</v>
      </c>
      <c r="L138" s="88"/>
      <c r="M138" s="573">
        <v>2018</v>
      </c>
      <c r="N138" s="176">
        <f t="shared" ref="N138:Q174" si="29">B138+H138</f>
        <v>102846.11826275574</v>
      </c>
      <c r="O138" s="172">
        <f t="shared" si="29"/>
        <v>37538833.165905841</v>
      </c>
      <c r="P138" s="172">
        <f t="shared" si="21"/>
        <v>6381601.6382039934</v>
      </c>
      <c r="Q138" s="172">
        <f t="shared" si="21"/>
        <v>31157231.527701851</v>
      </c>
      <c r="R138" s="88"/>
      <c r="S138" s="172">
        <f>S137*1.016</f>
        <v>0</v>
      </c>
      <c r="T138" s="172">
        <f>T137*1.016</f>
        <v>0</v>
      </c>
      <c r="U138" s="172">
        <f t="shared" ref="U138:V174" si="30">(S138/60)*365</f>
        <v>0</v>
      </c>
      <c r="V138" s="172">
        <f t="shared" si="30"/>
        <v>0</v>
      </c>
      <c r="W138" s="172">
        <f t="shared" ref="W138:W175" si="31">U138+V138</f>
        <v>0</v>
      </c>
      <c r="X138" s="88"/>
      <c r="Y138" s="172">
        <f>Y137*1.016</f>
        <v>0</v>
      </c>
      <c r="Z138" s="172">
        <f>Z137*1.016</f>
        <v>0</v>
      </c>
      <c r="AA138" s="172">
        <f t="shared" ref="AA138:AB174" si="32">(Y138/60)*365</f>
        <v>0</v>
      </c>
      <c r="AB138" s="172">
        <f t="shared" si="32"/>
        <v>0</v>
      </c>
      <c r="AC138" s="172">
        <f t="shared" ref="AC138:AC175" si="33">AA138+AB138</f>
        <v>0</v>
      </c>
      <c r="AE138" s="172">
        <f>AE137*1.016</f>
        <v>0</v>
      </c>
      <c r="AF138" s="172">
        <f>AF137*1.016</f>
        <v>0</v>
      </c>
      <c r="AG138" s="172">
        <f t="shared" ref="AG138:AH174" si="34">(AE138/60)*365</f>
        <v>0</v>
      </c>
      <c r="AH138" s="172">
        <f t="shared" si="34"/>
        <v>0</v>
      </c>
      <c r="AI138" s="172">
        <f t="shared" ref="AI138:AI175" si="35">AG138+AH138</f>
        <v>0</v>
      </c>
      <c r="AK138" s="172">
        <f t="shared" ref="AK138:AL174" si="36">S138+Y138+AE138</f>
        <v>0</v>
      </c>
      <c r="AL138" s="172">
        <f t="shared" si="36"/>
        <v>0</v>
      </c>
      <c r="AM138" s="172">
        <f t="shared" si="22"/>
        <v>0</v>
      </c>
      <c r="AN138" s="172">
        <f t="shared" si="22"/>
        <v>0</v>
      </c>
      <c r="AO138" s="172">
        <f t="shared" ref="AO138:AO175" si="37">AM138+AN138</f>
        <v>0</v>
      </c>
    </row>
    <row r="139" spans="1:41">
      <c r="A139" s="573">
        <v>2019</v>
      </c>
      <c r="B139" s="171">
        <v>35921.662268966698</v>
      </c>
      <c r="C139" s="172">
        <f t="shared" si="23"/>
        <v>13111406.728172844</v>
      </c>
      <c r="D139" s="172">
        <f t="shared" si="24"/>
        <v>2228939.1437893836</v>
      </c>
      <c r="E139" s="172">
        <f t="shared" si="25"/>
        <v>10882467.584383462</v>
      </c>
      <c r="G139" s="573">
        <v>2019</v>
      </c>
      <c r="H139" s="171">
        <v>68574.256684254346</v>
      </c>
      <c r="I139" s="172">
        <f t="shared" si="26"/>
        <v>25029603.689752836</v>
      </c>
      <c r="J139" s="172">
        <f t="shared" si="27"/>
        <v>4255032.6272579823</v>
      </c>
      <c r="K139" s="172">
        <f t="shared" si="28"/>
        <v>20774571.062494852</v>
      </c>
      <c r="L139" s="88"/>
      <c r="M139" s="573">
        <v>2019</v>
      </c>
      <c r="N139" s="176">
        <f t="shared" si="29"/>
        <v>104495.91895322104</v>
      </c>
      <c r="O139" s="172">
        <f t="shared" si="29"/>
        <v>38141010.417925678</v>
      </c>
      <c r="P139" s="172">
        <f t="shared" si="21"/>
        <v>6483971.7710473659</v>
      </c>
      <c r="Q139" s="172">
        <f t="shared" si="21"/>
        <v>31657038.646878313</v>
      </c>
      <c r="R139" s="88"/>
      <c r="S139" s="172">
        <f t="shared" ref="S139:T154" si="38">S138*1.016</f>
        <v>0</v>
      </c>
      <c r="T139" s="172">
        <f t="shared" si="38"/>
        <v>0</v>
      </c>
      <c r="U139" s="172">
        <f t="shared" si="30"/>
        <v>0</v>
      </c>
      <c r="V139" s="172">
        <f t="shared" si="30"/>
        <v>0</v>
      </c>
      <c r="W139" s="172">
        <f t="shared" si="31"/>
        <v>0</v>
      </c>
      <c r="X139" s="88"/>
      <c r="Y139" s="172">
        <f t="shared" ref="Y139:Z154" si="39">Y138*1.016</f>
        <v>0</v>
      </c>
      <c r="Z139" s="172">
        <f t="shared" si="39"/>
        <v>0</v>
      </c>
      <c r="AA139" s="172">
        <f t="shared" si="32"/>
        <v>0</v>
      </c>
      <c r="AB139" s="172">
        <f t="shared" si="32"/>
        <v>0</v>
      </c>
      <c r="AC139" s="172">
        <f t="shared" si="33"/>
        <v>0</v>
      </c>
      <c r="AE139" s="172">
        <f t="shared" ref="AE139:AF154" si="40">AE138*1.016</f>
        <v>0</v>
      </c>
      <c r="AF139" s="172">
        <f t="shared" si="40"/>
        <v>0</v>
      </c>
      <c r="AG139" s="172">
        <f t="shared" si="34"/>
        <v>0</v>
      </c>
      <c r="AH139" s="172">
        <f t="shared" si="34"/>
        <v>0</v>
      </c>
      <c r="AI139" s="172">
        <f t="shared" si="35"/>
        <v>0</v>
      </c>
      <c r="AK139" s="172">
        <f t="shared" si="36"/>
        <v>0</v>
      </c>
      <c r="AL139" s="172">
        <f t="shared" si="36"/>
        <v>0</v>
      </c>
      <c r="AM139" s="172">
        <f t="shared" si="22"/>
        <v>0</v>
      </c>
      <c r="AN139" s="172">
        <f t="shared" si="22"/>
        <v>0</v>
      </c>
      <c r="AO139" s="172">
        <f t="shared" si="37"/>
        <v>0</v>
      </c>
    </row>
    <row r="140" spans="1:41">
      <c r="A140" s="573">
        <v>2020</v>
      </c>
      <c r="B140" s="171">
        <v>36497.482117218548</v>
      </c>
      <c r="C140" s="172">
        <f t="shared" si="23"/>
        <v>13321580.972784771</v>
      </c>
      <c r="D140" s="172">
        <f t="shared" si="24"/>
        <v>2264668.7653734111</v>
      </c>
      <c r="E140" s="172">
        <f t="shared" si="25"/>
        <v>11056912.20741136</v>
      </c>
      <c r="G140" s="573">
        <v>2020</v>
      </c>
      <c r="H140" s="171">
        <v>69674.721267763569</v>
      </c>
      <c r="I140" s="172">
        <f t="shared" si="26"/>
        <v>25431273.262733702</v>
      </c>
      <c r="J140" s="172">
        <f t="shared" si="27"/>
        <v>4323316.4546647295</v>
      </c>
      <c r="K140" s="172">
        <f t="shared" si="28"/>
        <v>21107956.808068972</v>
      </c>
      <c r="L140" s="88"/>
      <c r="M140" s="573">
        <v>2020</v>
      </c>
      <c r="N140" s="176">
        <f t="shared" si="29"/>
        <v>106172.20338498212</v>
      </c>
      <c r="O140" s="172">
        <f t="shared" si="29"/>
        <v>38752854.23551847</v>
      </c>
      <c r="P140" s="172">
        <f t="shared" si="21"/>
        <v>6587985.2200381402</v>
      </c>
      <c r="Q140" s="172">
        <f t="shared" si="21"/>
        <v>32164869.015480332</v>
      </c>
      <c r="R140" s="88"/>
      <c r="S140" s="172">
        <f t="shared" si="38"/>
        <v>0</v>
      </c>
      <c r="T140" s="172">
        <f t="shared" si="38"/>
        <v>0</v>
      </c>
      <c r="U140" s="172">
        <f t="shared" si="30"/>
        <v>0</v>
      </c>
      <c r="V140" s="172">
        <f t="shared" si="30"/>
        <v>0</v>
      </c>
      <c r="W140" s="172">
        <f t="shared" si="31"/>
        <v>0</v>
      </c>
      <c r="X140" s="88"/>
      <c r="Y140" s="172">
        <f t="shared" si="39"/>
        <v>0</v>
      </c>
      <c r="Z140" s="172">
        <f t="shared" si="39"/>
        <v>0</v>
      </c>
      <c r="AA140" s="172">
        <f t="shared" si="32"/>
        <v>0</v>
      </c>
      <c r="AB140" s="172">
        <f t="shared" si="32"/>
        <v>0</v>
      </c>
      <c r="AC140" s="172">
        <f t="shared" si="33"/>
        <v>0</v>
      </c>
      <c r="AE140" s="172">
        <f t="shared" si="40"/>
        <v>0</v>
      </c>
      <c r="AF140" s="172">
        <f t="shared" si="40"/>
        <v>0</v>
      </c>
      <c r="AG140" s="172">
        <f t="shared" si="34"/>
        <v>0</v>
      </c>
      <c r="AH140" s="172">
        <f t="shared" si="34"/>
        <v>0</v>
      </c>
      <c r="AI140" s="172">
        <f t="shared" si="35"/>
        <v>0</v>
      </c>
      <c r="AK140" s="172">
        <f t="shared" si="36"/>
        <v>0</v>
      </c>
      <c r="AL140" s="172">
        <f t="shared" si="36"/>
        <v>0</v>
      </c>
      <c r="AM140" s="172">
        <f t="shared" si="22"/>
        <v>0</v>
      </c>
      <c r="AN140" s="172">
        <f t="shared" si="22"/>
        <v>0</v>
      </c>
      <c r="AO140" s="172">
        <f t="shared" si="37"/>
        <v>0</v>
      </c>
    </row>
    <row r="141" spans="1:41">
      <c r="A141" s="573">
        <v>2021</v>
      </c>
      <c r="B141" s="171">
        <v>37082.548728144568</v>
      </c>
      <c r="C141" s="172">
        <f t="shared" si="23"/>
        <v>13535130.285772767</v>
      </c>
      <c r="D141" s="172">
        <f t="shared" si="24"/>
        <v>2300972.1485813707</v>
      </c>
      <c r="E141" s="172">
        <f t="shared" si="25"/>
        <v>11234158.137191396</v>
      </c>
      <c r="G141" s="573">
        <v>2021</v>
      </c>
      <c r="H141" s="171">
        <v>70792.84823668703</v>
      </c>
      <c r="I141" s="172">
        <f t="shared" si="26"/>
        <v>25839389.606390767</v>
      </c>
      <c r="J141" s="172">
        <f t="shared" si="27"/>
        <v>4392696.2330864305</v>
      </c>
      <c r="K141" s="172">
        <f t="shared" si="28"/>
        <v>21446693.373304337</v>
      </c>
      <c r="L141" s="68"/>
      <c r="M141" s="573">
        <v>2021</v>
      </c>
      <c r="N141" s="176">
        <f t="shared" si="29"/>
        <v>107875.3969648316</v>
      </c>
      <c r="O141" s="172">
        <f t="shared" si="29"/>
        <v>39374519.89216353</v>
      </c>
      <c r="P141" s="172">
        <f t="shared" si="21"/>
        <v>6693668.3816678012</v>
      </c>
      <c r="Q141" s="172">
        <f t="shared" si="21"/>
        <v>32680851.510495733</v>
      </c>
      <c r="R141" s="68"/>
      <c r="S141" s="172">
        <f t="shared" si="38"/>
        <v>0</v>
      </c>
      <c r="T141" s="172">
        <f t="shared" si="38"/>
        <v>0</v>
      </c>
      <c r="U141" s="172">
        <f t="shared" si="30"/>
        <v>0</v>
      </c>
      <c r="V141" s="172">
        <f t="shared" si="30"/>
        <v>0</v>
      </c>
      <c r="W141" s="172">
        <f t="shared" si="31"/>
        <v>0</v>
      </c>
      <c r="X141" s="68"/>
      <c r="Y141" s="172">
        <f t="shared" si="39"/>
        <v>0</v>
      </c>
      <c r="Z141" s="172">
        <f t="shared" si="39"/>
        <v>0</v>
      </c>
      <c r="AA141" s="172">
        <f t="shared" si="32"/>
        <v>0</v>
      </c>
      <c r="AB141" s="172">
        <f t="shared" si="32"/>
        <v>0</v>
      </c>
      <c r="AC141" s="172">
        <f t="shared" si="33"/>
        <v>0</v>
      </c>
      <c r="AE141" s="172">
        <f t="shared" si="40"/>
        <v>0</v>
      </c>
      <c r="AF141" s="172">
        <f t="shared" si="40"/>
        <v>0</v>
      </c>
      <c r="AG141" s="172">
        <f t="shared" si="34"/>
        <v>0</v>
      </c>
      <c r="AH141" s="172">
        <f t="shared" si="34"/>
        <v>0</v>
      </c>
      <c r="AI141" s="172">
        <f t="shared" si="35"/>
        <v>0</v>
      </c>
      <c r="AK141" s="172">
        <f t="shared" si="36"/>
        <v>0</v>
      </c>
      <c r="AL141" s="172">
        <f t="shared" si="36"/>
        <v>0</v>
      </c>
      <c r="AM141" s="172">
        <f t="shared" si="22"/>
        <v>0</v>
      </c>
      <c r="AN141" s="172">
        <f t="shared" si="22"/>
        <v>0</v>
      </c>
      <c r="AO141" s="172">
        <f t="shared" si="37"/>
        <v>0</v>
      </c>
    </row>
    <row r="142" spans="1:41">
      <c r="A142" s="573">
        <v>2022</v>
      </c>
      <c r="B142" s="171">
        <v>37677.010827665501</v>
      </c>
      <c r="C142" s="172">
        <f t="shared" si="23"/>
        <v>13752108.952097908</v>
      </c>
      <c r="D142" s="172">
        <f t="shared" si="24"/>
        <v>2337858.5218566447</v>
      </c>
      <c r="E142" s="172">
        <f t="shared" si="25"/>
        <v>11414250.430241263</v>
      </c>
      <c r="G142" s="573">
        <v>2022</v>
      </c>
      <c r="H142" s="171">
        <v>71928.921109251431</v>
      </c>
      <c r="I142" s="172">
        <f t="shared" si="26"/>
        <v>26254056.204876773</v>
      </c>
      <c r="J142" s="172">
        <f t="shared" si="27"/>
        <v>4463189.5548290517</v>
      </c>
      <c r="K142" s="172">
        <f t="shared" si="28"/>
        <v>21790866.650047719</v>
      </c>
      <c r="L142" s="36"/>
      <c r="M142" s="573">
        <v>2022</v>
      </c>
      <c r="N142" s="176">
        <f t="shared" si="29"/>
        <v>109605.93193691692</v>
      </c>
      <c r="O142" s="172">
        <f t="shared" si="29"/>
        <v>40006165.156974681</v>
      </c>
      <c r="P142" s="172">
        <f t="shared" si="21"/>
        <v>6801048.0766856968</v>
      </c>
      <c r="Q142" s="172">
        <f t="shared" si="21"/>
        <v>33205117.080288984</v>
      </c>
      <c r="R142" s="36"/>
      <c r="S142" s="172">
        <f t="shared" si="38"/>
        <v>0</v>
      </c>
      <c r="T142" s="172">
        <f t="shared" si="38"/>
        <v>0</v>
      </c>
      <c r="U142" s="172">
        <f t="shared" si="30"/>
        <v>0</v>
      </c>
      <c r="V142" s="172">
        <f t="shared" si="30"/>
        <v>0</v>
      </c>
      <c r="W142" s="172">
        <f t="shared" si="31"/>
        <v>0</v>
      </c>
      <c r="X142" s="36"/>
      <c r="Y142" s="172">
        <f t="shared" si="39"/>
        <v>0</v>
      </c>
      <c r="Z142" s="172">
        <f t="shared" si="39"/>
        <v>0</v>
      </c>
      <c r="AA142" s="172">
        <f t="shared" si="32"/>
        <v>0</v>
      </c>
      <c r="AB142" s="172">
        <f t="shared" si="32"/>
        <v>0</v>
      </c>
      <c r="AC142" s="172">
        <f t="shared" si="33"/>
        <v>0</v>
      </c>
      <c r="AD142" s="173"/>
      <c r="AE142" s="172">
        <f t="shared" si="40"/>
        <v>0</v>
      </c>
      <c r="AF142" s="172">
        <f t="shared" si="40"/>
        <v>0</v>
      </c>
      <c r="AG142" s="172">
        <f t="shared" si="34"/>
        <v>0</v>
      </c>
      <c r="AH142" s="172">
        <f t="shared" si="34"/>
        <v>0</v>
      </c>
      <c r="AI142" s="172">
        <f t="shared" si="35"/>
        <v>0</v>
      </c>
      <c r="AK142" s="172">
        <f t="shared" si="36"/>
        <v>0</v>
      </c>
      <c r="AL142" s="172">
        <f t="shared" si="36"/>
        <v>0</v>
      </c>
      <c r="AM142" s="172">
        <f t="shared" si="22"/>
        <v>0</v>
      </c>
      <c r="AN142" s="172">
        <f t="shared" si="22"/>
        <v>0</v>
      </c>
      <c r="AO142" s="172">
        <f t="shared" si="37"/>
        <v>0</v>
      </c>
    </row>
    <row r="143" spans="1:41">
      <c r="A143" s="573">
        <v>2023</v>
      </c>
      <c r="B143" s="171">
        <v>38281.019537339402</v>
      </c>
      <c r="C143" s="172">
        <f t="shared" si="23"/>
        <v>13972572.131128881</v>
      </c>
      <c r="D143" s="172">
        <f t="shared" si="24"/>
        <v>2375337.2622919101</v>
      </c>
      <c r="E143" s="172">
        <f t="shared" si="25"/>
        <v>11597234.868836971</v>
      </c>
      <c r="G143" s="573">
        <v>2023</v>
      </c>
      <c r="H143" s="171">
        <v>73083.227955356793</v>
      </c>
      <c r="I143" s="172">
        <f t="shared" si="26"/>
        <v>26675378.203705229</v>
      </c>
      <c r="J143" s="172">
        <f t="shared" si="27"/>
        <v>4534814.2946298895</v>
      </c>
      <c r="K143" s="172">
        <f t="shared" si="28"/>
        <v>22140563.909075338</v>
      </c>
      <c r="M143" s="573">
        <v>2023</v>
      </c>
      <c r="N143" s="176">
        <f t="shared" si="29"/>
        <v>111364.24749269619</v>
      </c>
      <c r="O143" s="172">
        <f t="shared" si="29"/>
        <v>40647950.334834114</v>
      </c>
      <c r="P143" s="172">
        <f t="shared" si="21"/>
        <v>6910151.5569217997</v>
      </c>
      <c r="Q143" s="172">
        <f t="shared" si="21"/>
        <v>33737798.777912311</v>
      </c>
      <c r="S143" s="172">
        <f t="shared" si="38"/>
        <v>0</v>
      </c>
      <c r="T143" s="172">
        <f t="shared" si="38"/>
        <v>0</v>
      </c>
      <c r="U143" s="172">
        <f t="shared" si="30"/>
        <v>0</v>
      </c>
      <c r="V143" s="172">
        <f t="shared" si="30"/>
        <v>0</v>
      </c>
      <c r="W143" s="172">
        <f t="shared" si="31"/>
        <v>0</v>
      </c>
      <c r="Y143" s="172">
        <f t="shared" si="39"/>
        <v>0</v>
      </c>
      <c r="Z143" s="172">
        <f t="shared" si="39"/>
        <v>0</v>
      </c>
      <c r="AA143" s="172">
        <f t="shared" si="32"/>
        <v>0</v>
      </c>
      <c r="AB143" s="172">
        <f t="shared" si="32"/>
        <v>0</v>
      </c>
      <c r="AC143" s="172">
        <f t="shared" si="33"/>
        <v>0</v>
      </c>
      <c r="AE143" s="172">
        <f t="shared" si="40"/>
        <v>0</v>
      </c>
      <c r="AF143" s="172">
        <f t="shared" si="40"/>
        <v>0</v>
      </c>
      <c r="AG143" s="172">
        <f t="shared" si="34"/>
        <v>0</v>
      </c>
      <c r="AH143" s="172">
        <f t="shared" si="34"/>
        <v>0</v>
      </c>
      <c r="AI143" s="172">
        <f t="shared" si="35"/>
        <v>0</v>
      </c>
      <c r="AK143" s="172">
        <f t="shared" si="36"/>
        <v>0</v>
      </c>
      <c r="AL143" s="172">
        <f t="shared" si="36"/>
        <v>0</v>
      </c>
      <c r="AM143" s="172">
        <f t="shared" si="22"/>
        <v>0</v>
      </c>
      <c r="AN143" s="172">
        <f t="shared" si="22"/>
        <v>0</v>
      </c>
      <c r="AO143" s="172">
        <f t="shared" si="37"/>
        <v>0</v>
      </c>
    </row>
    <row r="144" spans="1:41">
      <c r="A144" s="573">
        <v>2024</v>
      </c>
      <c r="B144" s="171">
        <v>38894.728413003184</v>
      </c>
      <c r="C144" s="172">
        <f t="shared" si="23"/>
        <v>14196575.870746162</v>
      </c>
      <c r="D144" s="172">
        <f t="shared" si="24"/>
        <v>2413417.8980268477</v>
      </c>
      <c r="E144" s="172">
        <f t="shared" si="25"/>
        <v>11783157.972719314</v>
      </c>
      <c r="G144" s="573">
        <v>2024</v>
      </c>
      <c r="H144" s="171">
        <v>74256.061469660141</v>
      </c>
      <c r="I144" s="172">
        <f t="shared" si="26"/>
        <v>27103462.43642595</v>
      </c>
      <c r="J144" s="172">
        <f t="shared" si="27"/>
        <v>4607588.6141924122</v>
      </c>
      <c r="K144" s="172">
        <f t="shared" si="28"/>
        <v>22495873.822233539</v>
      </c>
      <c r="M144" s="573">
        <v>2024</v>
      </c>
      <c r="N144" s="176">
        <f t="shared" si="29"/>
        <v>113150.78988266332</v>
      </c>
      <c r="O144" s="172">
        <f t="shared" si="29"/>
        <v>41300038.307172112</v>
      </c>
      <c r="P144" s="172">
        <f t="shared" si="21"/>
        <v>7021006.5122192595</v>
      </c>
      <c r="Q144" s="172">
        <f t="shared" si="21"/>
        <v>34279031.794952855</v>
      </c>
      <c r="S144" s="172">
        <f t="shared" si="38"/>
        <v>0</v>
      </c>
      <c r="T144" s="172">
        <f t="shared" si="38"/>
        <v>0</v>
      </c>
      <c r="U144" s="172">
        <f t="shared" si="30"/>
        <v>0</v>
      </c>
      <c r="V144" s="172">
        <f t="shared" si="30"/>
        <v>0</v>
      </c>
      <c r="W144" s="172">
        <f t="shared" si="31"/>
        <v>0</v>
      </c>
      <c r="Y144" s="172">
        <f t="shared" si="39"/>
        <v>0</v>
      </c>
      <c r="Z144" s="172">
        <f t="shared" si="39"/>
        <v>0</v>
      </c>
      <c r="AA144" s="172">
        <f t="shared" si="32"/>
        <v>0</v>
      </c>
      <c r="AB144" s="172">
        <f t="shared" si="32"/>
        <v>0</v>
      </c>
      <c r="AC144" s="172">
        <f t="shared" si="33"/>
        <v>0</v>
      </c>
      <c r="AE144" s="172">
        <f t="shared" si="40"/>
        <v>0</v>
      </c>
      <c r="AF144" s="172">
        <f t="shared" si="40"/>
        <v>0</v>
      </c>
      <c r="AG144" s="172">
        <f t="shared" si="34"/>
        <v>0</v>
      </c>
      <c r="AH144" s="172">
        <f t="shared" si="34"/>
        <v>0</v>
      </c>
      <c r="AI144" s="172">
        <f t="shared" si="35"/>
        <v>0</v>
      </c>
      <c r="AK144" s="172">
        <f t="shared" si="36"/>
        <v>0</v>
      </c>
      <c r="AL144" s="172">
        <f t="shared" si="36"/>
        <v>0</v>
      </c>
      <c r="AM144" s="172">
        <f t="shared" si="22"/>
        <v>0</v>
      </c>
      <c r="AN144" s="172">
        <f t="shared" si="22"/>
        <v>0</v>
      </c>
      <c r="AO144" s="172">
        <f t="shared" si="37"/>
        <v>0</v>
      </c>
    </row>
    <row r="145" spans="1:41">
      <c r="A145" s="573">
        <v>2025</v>
      </c>
      <c r="B145" s="171">
        <v>39518.29348403836</v>
      </c>
      <c r="C145" s="172">
        <f t="shared" si="23"/>
        <v>14424177.121674001</v>
      </c>
      <c r="D145" s="172">
        <f t="shared" si="24"/>
        <v>2452110.1106845802</v>
      </c>
      <c r="E145" s="172">
        <f t="shared" si="25"/>
        <v>11972067.01098942</v>
      </c>
      <c r="G145" s="573">
        <v>2025</v>
      </c>
      <c r="H145" s="171">
        <v>75447.71904583268</v>
      </c>
      <c r="I145" s="172">
        <f t="shared" si="26"/>
        <v>27538417.451728929</v>
      </c>
      <c r="J145" s="172">
        <f t="shared" si="27"/>
        <v>4681530.9667939181</v>
      </c>
      <c r="K145" s="172">
        <f t="shared" si="28"/>
        <v>22856886.484935012</v>
      </c>
      <c r="M145" s="573">
        <v>2025</v>
      </c>
      <c r="N145" s="176">
        <f t="shared" si="29"/>
        <v>114966.01252987105</v>
      </c>
      <c r="O145" s="172">
        <f t="shared" si="29"/>
        <v>41962594.573402926</v>
      </c>
      <c r="P145" s="172">
        <f t="shared" si="21"/>
        <v>7133641.0774784982</v>
      </c>
      <c r="Q145" s="172">
        <f t="shared" si="21"/>
        <v>34828953.495924428</v>
      </c>
      <c r="S145" s="172">
        <f t="shared" si="38"/>
        <v>0</v>
      </c>
      <c r="T145" s="172">
        <f t="shared" si="38"/>
        <v>0</v>
      </c>
      <c r="U145" s="172">
        <f t="shared" si="30"/>
        <v>0</v>
      </c>
      <c r="V145" s="172">
        <f t="shared" si="30"/>
        <v>0</v>
      </c>
      <c r="W145" s="172">
        <f t="shared" si="31"/>
        <v>0</v>
      </c>
      <c r="Y145" s="172">
        <f t="shared" si="39"/>
        <v>0</v>
      </c>
      <c r="Z145" s="172">
        <f t="shared" si="39"/>
        <v>0</v>
      </c>
      <c r="AA145" s="172">
        <f t="shared" si="32"/>
        <v>0</v>
      </c>
      <c r="AB145" s="172">
        <f t="shared" si="32"/>
        <v>0</v>
      </c>
      <c r="AC145" s="172">
        <f t="shared" si="33"/>
        <v>0</v>
      </c>
      <c r="AE145" s="172">
        <f t="shared" si="40"/>
        <v>0</v>
      </c>
      <c r="AF145" s="172">
        <f t="shared" si="40"/>
        <v>0</v>
      </c>
      <c r="AG145" s="172">
        <f t="shared" si="34"/>
        <v>0</v>
      </c>
      <c r="AH145" s="172">
        <f t="shared" si="34"/>
        <v>0</v>
      </c>
      <c r="AI145" s="172">
        <f t="shared" si="35"/>
        <v>0</v>
      </c>
      <c r="AK145" s="172">
        <f t="shared" si="36"/>
        <v>0</v>
      </c>
      <c r="AL145" s="172">
        <f t="shared" si="36"/>
        <v>0</v>
      </c>
      <c r="AM145" s="172">
        <f t="shared" si="22"/>
        <v>0</v>
      </c>
      <c r="AN145" s="172">
        <f t="shared" si="22"/>
        <v>0</v>
      </c>
      <c r="AO145" s="172">
        <f t="shared" si="37"/>
        <v>0</v>
      </c>
    </row>
    <row r="146" spans="1:41">
      <c r="A146" s="573">
        <v>2026</v>
      </c>
      <c r="B146" s="171">
        <v>40151.873293270932</v>
      </c>
      <c r="C146" s="172">
        <f t="shared" si="23"/>
        <v>14655433.75204389</v>
      </c>
      <c r="D146" s="172">
        <f t="shared" si="24"/>
        <v>2491423.7378474614</v>
      </c>
      <c r="E146" s="172">
        <f t="shared" si="25"/>
        <v>12164010.014196429</v>
      </c>
      <c r="G146" s="573">
        <v>2026</v>
      </c>
      <c r="H146" s="171">
        <v>76658.502852009537</v>
      </c>
      <c r="I146" s="172">
        <f t="shared" si="26"/>
        <v>27980353.540983479</v>
      </c>
      <c r="J146" s="172">
        <f t="shared" si="27"/>
        <v>4756660.1019671923</v>
      </c>
      <c r="K146" s="172">
        <f t="shared" si="28"/>
        <v>23223693.439016286</v>
      </c>
      <c r="M146" s="573">
        <v>2026</v>
      </c>
      <c r="N146" s="176">
        <f t="shared" si="29"/>
        <v>116810.37614528046</v>
      </c>
      <c r="O146" s="172">
        <f t="shared" si="29"/>
        <v>42635787.293027371</v>
      </c>
      <c r="P146" s="172">
        <f t="shared" si="21"/>
        <v>7248083.8398146536</v>
      </c>
      <c r="Q146" s="172">
        <f t="shared" si="21"/>
        <v>35387703.453212716</v>
      </c>
      <c r="S146" s="172">
        <f t="shared" si="38"/>
        <v>0</v>
      </c>
      <c r="T146" s="172">
        <f t="shared" si="38"/>
        <v>0</v>
      </c>
      <c r="U146" s="172">
        <f t="shared" si="30"/>
        <v>0</v>
      </c>
      <c r="V146" s="172">
        <f t="shared" si="30"/>
        <v>0</v>
      </c>
      <c r="W146" s="172">
        <f t="shared" si="31"/>
        <v>0</v>
      </c>
      <c r="Y146" s="172">
        <f t="shared" si="39"/>
        <v>0</v>
      </c>
      <c r="Z146" s="172">
        <f t="shared" si="39"/>
        <v>0</v>
      </c>
      <c r="AA146" s="172">
        <f t="shared" si="32"/>
        <v>0</v>
      </c>
      <c r="AB146" s="172">
        <f t="shared" si="32"/>
        <v>0</v>
      </c>
      <c r="AC146" s="172">
        <f t="shared" si="33"/>
        <v>0</v>
      </c>
      <c r="AE146" s="172">
        <f t="shared" si="40"/>
        <v>0</v>
      </c>
      <c r="AF146" s="172">
        <f t="shared" si="40"/>
        <v>0</v>
      </c>
      <c r="AG146" s="172">
        <f t="shared" si="34"/>
        <v>0</v>
      </c>
      <c r="AH146" s="172">
        <f t="shared" si="34"/>
        <v>0</v>
      </c>
      <c r="AI146" s="172">
        <f t="shared" si="35"/>
        <v>0</v>
      </c>
      <c r="AK146" s="172">
        <f t="shared" si="36"/>
        <v>0</v>
      </c>
      <c r="AL146" s="172">
        <f t="shared" si="36"/>
        <v>0</v>
      </c>
      <c r="AM146" s="172">
        <f t="shared" si="22"/>
        <v>0</v>
      </c>
      <c r="AN146" s="172">
        <f t="shared" si="22"/>
        <v>0</v>
      </c>
      <c r="AO146" s="172">
        <f t="shared" si="37"/>
        <v>0</v>
      </c>
    </row>
    <row r="147" spans="1:41">
      <c r="A147" s="573">
        <v>2027</v>
      </c>
      <c r="B147" s="171">
        <v>40795.628937515758</v>
      </c>
      <c r="C147" s="172">
        <f t="shared" si="23"/>
        <v>14890404.562193252</v>
      </c>
      <c r="D147" s="172">
        <f t="shared" si="24"/>
        <v>2531368.7755728532</v>
      </c>
      <c r="E147" s="172">
        <f t="shared" si="25"/>
        <v>12359035.786620399</v>
      </c>
      <c r="G147" s="573">
        <v>2027</v>
      </c>
      <c r="H147" s="171">
        <v>77888.719907450999</v>
      </c>
      <c r="I147" s="172">
        <f t="shared" si="26"/>
        <v>28429382.766219616</v>
      </c>
      <c r="J147" s="172">
        <f t="shared" si="27"/>
        <v>4832995.070257335</v>
      </c>
      <c r="K147" s="172">
        <f t="shared" si="28"/>
        <v>23596387.69596228</v>
      </c>
      <c r="M147" s="573">
        <v>2027</v>
      </c>
      <c r="N147" s="176">
        <f t="shared" si="29"/>
        <v>118684.34884496676</v>
      </c>
      <c r="O147" s="172">
        <f t="shared" si="29"/>
        <v>43319787.328412868</v>
      </c>
      <c r="P147" s="172">
        <f t="shared" si="21"/>
        <v>7364363.8458301881</v>
      </c>
      <c r="Q147" s="172">
        <f t="shared" si="21"/>
        <v>35955423.482582681</v>
      </c>
      <c r="S147" s="172">
        <f t="shared" si="38"/>
        <v>0</v>
      </c>
      <c r="T147" s="172">
        <f t="shared" si="38"/>
        <v>0</v>
      </c>
      <c r="U147" s="172">
        <f t="shared" si="30"/>
        <v>0</v>
      </c>
      <c r="V147" s="172">
        <f t="shared" si="30"/>
        <v>0</v>
      </c>
      <c r="W147" s="172">
        <f t="shared" si="31"/>
        <v>0</v>
      </c>
      <c r="Y147" s="172">
        <f t="shared" si="39"/>
        <v>0</v>
      </c>
      <c r="Z147" s="172">
        <f t="shared" si="39"/>
        <v>0</v>
      </c>
      <c r="AA147" s="172">
        <f t="shared" si="32"/>
        <v>0</v>
      </c>
      <c r="AB147" s="172">
        <f t="shared" si="32"/>
        <v>0</v>
      </c>
      <c r="AC147" s="172">
        <f t="shared" si="33"/>
        <v>0</v>
      </c>
      <c r="AE147" s="172">
        <f t="shared" si="40"/>
        <v>0</v>
      </c>
      <c r="AF147" s="172">
        <f t="shared" si="40"/>
        <v>0</v>
      </c>
      <c r="AG147" s="172">
        <f t="shared" si="34"/>
        <v>0</v>
      </c>
      <c r="AH147" s="172">
        <f t="shared" si="34"/>
        <v>0</v>
      </c>
      <c r="AI147" s="172">
        <f t="shared" si="35"/>
        <v>0</v>
      </c>
      <c r="AK147" s="172">
        <f t="shared" si="36"/>
        <v>0</v>
      </c>
      <c r="AL147" s="172">
        <f t="shared" si="36"/>
        <v>0</v>
      </c>
      <c r="AM147" s="172">
        <f t="shared" si="22"/>
        <v>0</v>
      </c>
      <c r="AN147" s="172">
        <f t="shared" si="22"/>
        <v>0</v>
      </c>
      <c r="AO147" s="172">
        <f t="shared" si="37"/>
        <v>0</v>
      </c>
    </row>
    <row r="148" spans="1:41">
      <c r="A148" s="573">
        <v>2028</v>
      </c>
      <c r="B148" s="171">
        <v>41449.724108775838</v>
      </c>
      <c r="C148" s="172">
        <f t="shared" si="23"/>
        <v>15129149.299703181</v>
      </c>
      <c r="D148" s="172">
        <f t="shared" si="24"/>
        <v>2571955.380949541</v>
      </c>
      <c r="E148" s="172">
        <f t="shared" si="25"/>
        <v>12557193.918753639</v>
      </c>
      <c r="G148" s="573">
        <v>2028</v>
      </c>
      <c r="H148" s="171">
        <v>79138.682160435026</v>
      </c>
      <c r="I148" s="172">
        <f t="shared" si="26"/>
        <v>28885618.988558784</v>
      </c>
      <c r="J148" s="172">
        <f t="shared" si="27"/>
        <v>4910555.2280549938</v>
      </c>
      <c r="K148" s="172">
        <f t="shared" si="28"/>
        <v>23975063.760503791</v>
      </c>
      <c r="M148" s="573">
        <v>2028</v>
      </c>
      <c r="N148" s="176">
        <f t="shared" si="29"/>
        <v>120588.40626921086</v>
      </c>
      <c r="O148" s="172">
        <f t="shared" si="29"/>
        <v>44014768.288261965</v>
      </c>
      <c r="P148" s="172">
        <f t="shared" si="21"/>
        <v>7482510.6090045348</v>
      </c>
      <c r="Q148" s="172">
        <f t="shared" si="21"/>
        <v>36532257.67925743</v>
      </c>
      <c r="S148" s="172">
        <f t="shared" si="38"/>
        <v>0</v>
      </c>
      <c r="T148" s="172">
        <f t="shared" si="38"/>
        <v>0</v>
      </c>
      <c r="U148" s="172">
        <f t="shared" si="30"/>
        <v>0</v>
      </c>
      <c r="V148" s="172">
        <f t="shared" si="30"/>
        <v>0</v>
      </c>
      <c r="W148" s="172">
        <f t="shared" si="31"/>
        <v>0</v>
      </c>
      <c r="Y148" s="172">
        <f t="shared" si="39"/>
        <v>0</v>
      </c>
      <c r="Z148" s="172">
        <f t="shared" si="39"/>
        <v>0</v>
      </c>
      <c r="AA148" s="172">
        <f t="shared" si="32"/>
        <v>0</v>
      </c>
      <c r="AB148" s="172">
        <f t="shared" si="32"/>
        <v>0</v>
      </c>
      <c r="AC148" s="172">
        <f t="shared" si="33"/>
        <v>0</v>
      </c>
      <c r="AE148" s="172">
        <f t="shared" si="40"/>
        <v>0</v>
      </c>
      <c r="AF148" s="172">
        <f t="shared" si="40"/>
        <v>0</v>
      </c>
      <c r="AG148" s="172">
        <f t="shared" si="34"/>
        <v>0</v>
      </c>
      <c r="AH148" s="172">
        <f t="shared" si="34"/>
        <v>0</v>
      </c>
      <c r="AI148" s="172">
        <f t="shared" si="35"/>
        <v>0</v>
      </c>
      <c r="AK148" s="172">
        <f t="shared" si="36"/>
        <v>0</v>
      </c>
      <c r="AL148" s="172">
        <f t="shared" si="36"/>
        <v>0</v>
      </c>
      <c r="AM148" s="172">
        <f t="shared" si="22"/>
        <v>0</v>
      </c>
      <c r="AN148" s="172">
        <f t="shared" si="22"/>
        <v>0</v>
      </c>
      <c r="AO148" s="172">
        <f t="shared" si="37"/>
        <v>0</v>
      </c>
    </row>
    <row r="149" spans="1:41">
      <c r="A149" s="573">
        <v>2029</v>
      </c>
      <c r="B149" s="171">
        <v>42114.325136107043</v>
      </c>
      <c r="C149" s="172">
        <f t="shared" si="23"/>
        <v>15371728.674679071</v>
      </c>
      <c r="D149" s="172">
        <f t="shared" si="24"/>
        <v>2613193.8746954422</v>
      </c>
      <c r="E149" s="172">
        <f t="shared" si="25"/>
        <v>12758534.799983628</v>
      </c>
      <c r="G149" s="573">
        <v>2029</v>
      </c>
      <c r="H149" s="171">
        <v>80408.706567400368</v>
      </c>
      <c r="I149" s="172">
        <f t="shared" si="26"/>
        <v>29349177.897101134</v>
      </c>
      <c r="J149" s="172">
        <f t="shared" si="27"/>
        <v>4989360.2425071932</v>
      </c>
      <c r="K149" s="172">
        <f t="shared" si="28"/>
        <v>24359817.654593941</v>
      </c>
      <c r="M149" s="573">
        <v>2029</v>
      </c>
      <c r="N149" s="176">
        <f t="shared" si="29"/>
        <v>122523.03170350741</v>
      </c>
      <c r="O149" s="172">
        <f t="shared" si="29"/>
        <v>44720906.571780205</v>
      </c>
      <c r="P149" s="172">
        <f t="shared" si="21"/>
        <v>7602554.1172026359</v>
      </c>
      <c r="Q149" s="172">
        <f t="shared" si="21"/>
        <v>37118352.454577565</v>
      </c>
      <c r="S149" s="172">
        <f t="shared" si="38"/>
        <v>0</v>
      </c>
      <c r="T149" s="172">
        <f t="shared" si="38"/>
        <v>0</v>
      </c>
      <c r="U149" s="172">
        <f t="shared" si="30"/>
        <v>0</v>
      </c>
      <c r="V149" s="172">
        <f t="shared" si="30"/>
        <v>0</v>
      </c>
      <c r="W149" s="172">
        <f t="shared" si="31"/>
        <v>0</v>
      </c>
      <c r="Y149" s="172">
        <f t="shared" si="39"/>
        <v>0</v>
      </c>
      <c r="Z149" s="172">
        <f t="shared" si="39"/>
        <v>0</v>
      </c>
      <c r="AA149" s="172">
        <f t="shared" si="32"/>
        <v>0</v>
      </c>
      <c r="AB149" s="172">
        <f t="shared" si="32"/>
        <v>0</v>
      </c>
      <c r="AC149" s="172">
        <f t="shared" si="33"/>
        <v>0</v>
      </c>
      <c r="AE149" s="172">
        <f t="shared" si="40"/>
        <v>0</v>
      </c>
      <c r="AF149" s="172">
        <f t="shared" si="40"/>
        <v>0</v>
      </c>
      <c r="AG149" s="172">
        <f t="shared" si="34"/>
        <v>0</v>
      </c>
      <c r="AH149" s="172">
        <f t="shared" si="34"/>
        <v>0</v>
      </c>
      <c r="AI149" s="172">
        <f t="shared" si="35"/>
        <v>0</v>
      </c>
      <c r="AK149" s="172">
        <f t="shared" si="36"/>
        <v>0</v>
      </c>
      <c r="AL149" s="172">
        <f t="shared" si="36"/>
        <v>0</v>
      </c>
      <c r="AM149" s="172">
        <f t="shared" si="22"/>
        <v>0</v>
      </c>
      <c r="AN149" s="172">
        <f t="shared" si="22"/>
        <v>0</v>
      </c>
      <c r="AO149" s="172">
        <f t="shared" si="37"/>
        <v>0</v>
      </c>
    </row>
    <row r="150" spans="1:41">
      <c r="A150" s="573">
        <v>2030</v>
      </c>
      <c r="B150" s="171">
        <v>42789.601028159115</v>
      </c>
      <c r="C150" s="172">
        <f t="shared" si="23"/>
        <v>15618204.375278076</v>
      </c>
      <c r="D150" s="172">
        <f t="shared" si="24"/>
        <v>2655094.7437972729</v>
      </c>
      <c r="E150" s="172">
        <f t="shared" si="25"/>
        <v>12963109.631480804</v>
      </c>
      <c r="G150" s="573">
        <v>2030</v>
      </c>
      <c r="H150" s="171">
        <v>81699.115173360828</v>
      </c>
      <c r="I150" s="172">
        <f t="shared" si="26"/>
        <v>29820177.038276702</v>
      </c>
      <c r="J150" s="172">
        <f t="shared" si="27"/>
        <v>5069430.0965070399</v>
      </c>
      <c r="K150" s="172">
        <f t="shared" si="28"/>
        <v>24750746.941769663</v>
      </c>
      <c r="M150" s="573">
        <v>2030</v>
      </c>
      <c r="N150" s="176">
        <f t="shared" si="29"/>
        <v>124488.71620151994</v>
      </c>
      <c r="O150" s="172">
        <f t="shared" si="29"/>
        <v>45438381.41355478</v>
      </c>
      <c r="P150" s="172">
        <f t="shared" si="21"/>
        <v>7724524.8403043132</v>
      </c>
      <c r="Q150" s="172">
        <f t="shared" si="21"/>
        <v>37713856.573250465</v>
      </c>
      <c r="S150" s="172">
        <f t="shared" si="38"/>
        <v>0</v>
      </c>
      <c r="T150" s="172">
        <f t="shared" si="38"/>
        <v>0</v>
      </c>
      <c r="U150" s="172">
        <f t="shared" si="30"/>
        <v>0</v>
      </c>
      <c r="V150" s="172">
        <f t="shared" si="30"/>
        <v>0</v>
      </c>
      <c r="W150" s="172">
        <f t="shared" si="31"/>
        <v>0</v>
      </c>
      <c r="Y150" s="172">
        <f t="shared" si="39"/>
        <v>0</v>
      </c>
      <c r="Z150" s="172">
        <f t="shared" si="39"/>
        <v>0</v>
      </c>
      <c r="AA150" s="172">
        <f t="shared" si="32"/>
        <v>0</v>
      </c>
      <c r="AB150" s="172">
        <f t="shared" si="32"/>
        <v>0</v>
      </c>
      <c r="AC150" s="172">
        <f t="shared" si="33"/>
        <v>0</v>
      </c>
      <c r="AE150" s="172">
        <f t="shared" si="40"/>
        <v>0</v>
      </c>
      <c r="AF150" s="172">
        <f t="shared" si="40"/>
        <v>0</v>
      </c>
      <c r="AG150" s="172">
        <f t="shared" si="34"/>
        <v>0</v>
      </c>
      <c r="AH150" s="172">
        <f t="shared" si="34"/>
        <v>0</v>
      </c>
      <c r="AI150" s="172">
        <f t="shared" si="35"/>
        <v>0</v>
      </c>
      <c r="AK150" s="172">
        <f t="shared" si="36"/>
        <v>0</v>
      </c>
      <c r="AL150" s="172">
        <f t="shared" si="36"/>
        <v>0</v>
      </c>
      <c r="AM150" s="172">
        <f t="shared" si="22"/>
        <v>0</v>
      </c>
      <c r="AN150" s="172">
        <f t="shared" si="22"/>
        <v>0</v>
      </c>
      <c r="AO150" s="172">
        <f t="shared" si="37"/>
        <v>0</v>
      </c>
    </row>
    <row r="151" spans="1:41">
      <c r="A151" s="573">
        <v>2031</v>
      </c>
      <c r="B151" s="171">
        <v>43475.723516403843</v>
      </c>
      <c r="C151" s="172">
        <f t="shared" si="23"/>
        <v>15868639.083487403</v>
      </c>
      <c r="D151" s="172">
        <f t="shared" si="24"/>
        <v>2697668.6441928586</v>
      </c>
      <c r="E151" s="172">
        <f t="shared" si="25"/>
        <v>13170970.439294543</v>
      </c>
      <c r="G151" s="573">
        <v>2031</v>
      </c>
      <c r="H151" s="171">
        <v>83010.235193610832</v>
      </c>
      <c r="I151" s="172">
        <f t="shared" si="26"/>
        <v>30298735.845667955</v>
      </c>
      <c r="J151" s="172">
        <f t="shared" si="27"/>
        <v>5150785.0937635526</v>
      </c>
      <c r="K151" s="172">
        <f t="shared" si="28"/>
        <v>25147950.751904402</v>
      </c>
      <c r="M151" s="573">
        <v>2031</v>
      </c>
      <c r="N151" s="176">
        <f t="shared" si="29"/>
        <v>126485.95871001467</v>
      </c>
      <c r="O151" s="172">
        <f t="shared" si="29"/>
        <v>46167374.929155357</v>
      </c>
      <c r="P151" s="172">
        <f t="shared" si="21"/>
        <v>7848453.7379564112</v>
      </c>
      <c r="Q151" s="172">
        <f t="shared" si="21"/>
        <v>38318921.191198945</v>
      </c>
      <c r="S151" s="172">
        <f t="shared" si="38"/>
        <v>0</v>
      </c>
      <c r="T151" s="172">
        <f t="shared" si="38"/>
        <v>0</v>
      </c>
      <c r="U151" s="172">
        <f t="shared" si="30"/>
        <v>0</v>
      </c>
      <c r="V151" s="172">
        <f t="shared" si="30"/>
        <v>0</v>
      </c>
      <c r="W151" s="172">
        <f t="shared" si="31"/>
        <v>0</v>
      </c>
      <c r="Y151" s="172">
        <f t="shared" si="39"/>
        <v>0</v>
      </c>
      <c r="Z151" s="172">
        <f t="shared" si="39"/>
        <v>0</v>
      </c>
      <c r="AA151" s="172">
        <f t="shared" si="32"/>
        <v>0</v>
      </c>
      <c r="AB151" s="172">
        <f t="shared" si="32"/>
        <v>0</v>
      </c>
      <c r="AC151" s="172">
        <f t="shared" si="33"/>
        <v>0</v>
      </c>
      <c r="AE151" s="172">
        <f t="shared" si="40"/>
        <v>0</v>
      </c>
      <c r="AF151" s="172">
        <f t="shared" si="40"/>
        <v>0</v>
      </c>
      <c r="AG151" s="172">
        <f t="shared" si="34"/>
        <v>0</v>
      </c>
      <c r="AH151" s="172">
        <f t="shared" si="34"/>
        <v>0</v>
      </c>
      <c r="AI151" s="172">
        <f t="shared" si="35"/>
        <v>0</v>
      </c>
      <c r="AK151" s="172">
        <f t="shared" si="36"/>
        <v>0</v>
      </c>
      <c r="AL151" s="172">
        <f t="shared" si="36"/>
        <v>0</v>
      </c>
      <c r="AM151" s="172">
        <f t="shared" si="22"/>
        <v>0</v>
      </c>
      <c r="AN151" s="172">
        <f t="shared" si="22"/>
        <v>0</v>
      </c>
      <c r="AO151" s="172">
        <f t="shared" si="37"/>
        <v>0</v>
      </c>
    </row>
    <row r="152" spans="1:41">
      <c r="A152" s="573">
        <v>2032</v>
      </c>
      <c r="B152" s="171">
        <v>44172.867099061521</v>
      </c>
      <c r="C152" s="172">
        <f t="shared" si="23"/>
        <v>16123096.491157455</v>
      </c>
      <c r="D152" s="172">
        <f t="shared" si="24"/>
        <v>2740926.4034967674</v>
      </c>
      <c r="E152" s="172">
        <f t="shared" si="25"/>
        <v>13382170.087660689</v>
      </c>
      <c r="G152" s="573">
        <v>2032</v>
      </c>
      <c r="H152" s="171">
        <v>84342.399096743087</v>
      </c>
      <c r="I152" s="172">
        <f t="shared" si="26"/>
        <v>30784975.670311227</v>
      </c>
      <c r="J152" s="172">
        <f t="shared" si="27"/>
        <v>5233445.8639529087</v>
      </c>
      <c r="K152" s="172">
        <f t="shared" si="28"/>
        <v>25551529.806358319</v>
      </c>
      <c r="M152" s="573">
        <v>2032</v>
      </c>
      <c r="N152" s="176">
        <f t="shared" si="29"/>
        <v>128515.26619580461</v>
      </c>
      <c r="O152" s="172">
        <f t="shared" si="29"/>
        <v>46908072.161468685</v>
      </c>
      <c r="P152" s="172">
        <f t="shared" si="21"/>
        <v>7974372.2674496761</v>
      </c>
      <c r="Q152" s="172">
        <f t="shared" si="21"/>
        <v>38933699.894019008</v>
      </c>
      <c r="S152" s="172">
        <f t="shared" si="38"/>
        <v>0</v>
      </c>
      <c r="T152" s="172">
        <f t="shared" si="38"/>
        <v>0</v>
      </c>
      <c r="U152" s="172">
        <f t="shared" si="30"/>
        <v>0</v>
      </c>
      <c r="V152" s="172">
        <f t="shared" si="30"/>
        <v>0</v>
      </c>
      <c r="W152" s="172">
        <f t="shared" si="31"/>
        <v>0</v>
      </c>
      <c r="Y152" s="172">
        <f t="shared" si="39"/>
        <v>0</v>
      </c>
      <c r="Z152" s="172">
        <f t="shared" si="39"/>
        <v>0</v>
      </c>
      <c r="AA152" s="172">
        <f t="shared" si="32"/>
        <v>0</v>
      </c>
      <c r="AB152" s="172">
        <f t="shared" si="32"/>
        <v>0</v>
      </c>
      <c r="AC152" s="172">
        <f t="shared" si="33"/>
        <v>0</v>
      </c>
      <c r="AE152" s="172">
        <f t="shared" si="40"/>
        <v>0</v>
      </c>
      <c r="AF152" s="172">
        <f t="shared" si="40"/>
        <v>0</v>
      </c>
      <c r="AG152" s="172">
        <f t="shared" si="34"/>
        <v>0</v>
      </c>
      <c r="AH152" s="172">
        <f t="shared" si="34"/>
        <v>0</v>
      </c>
      <c r="AI152" s="172">
        <f t="shared" si="35"/>
        <v>0</v>
      </c>
      <c r="AK152" s="172">
        <f t="shared" si="36"/>
        <v>0</v>
      </c>
      <c r="AL152" s="172">
        <f t="shared" si="36"/>
        <v>0</v>
      </c>
      <c r="AM152" s="172">
        <f t="shared" si="22"/>
        <v>0</v>
      </c>
      <c r="AN152" s="172">
        <f t="shared" si="22"/>
        <v>0</v>
      </c>
      <c r="AO152" s="172">
        <f t="shared" si="37"/>
        <v>0</v>
      </c>
    </row>
    <row r="153" spans="1:41">
      <c r="A153" s="573">
        <v>2033</v>
      </c>
      <c r="B153" s="171">
        <v>44881.20908573702</v>
      </c>
      <c r="C153" s="172">
        <f t="shared" si="23"/>
        <v>16381641.316294013</v>
      </c>
      <c r="D153" s="172">
        <f t="shared" si="24"/>
        <v>2784879.0237699822</v>
      </c>
      <c r="E153" s="172">
        <f t="shared" si="25"/>
        <v>13596762.29252403</v>
      </c>
      <c r="G153" s="573">
        <v>2033</v>
      </c>
      <c r="H153" s="171">
        <v>85695.944688999356</v>
      </c>
      <c r="I153" s="172">
        <f t="shared" si="26"/>
        <v>31279019.811484765</v>
      </c>
      <c r="J153" s="172">
        <f t="shared" si="27"/>
        <v>5317433.3679524101</v>
      </c>
      <c r="K153" s="172">
        <f t="shared" si="28"/>
        <v>25961586.443532355</v>
      </c>
      <c r="M153" s="573">
        <v>2033</v>
      </c>
      <c r="N153" s="176">
        <f t="shared" si="29"/>
        <v>130577.15377473638</v>
      </c>
      <c r="O153" s="172">
        <f t="shared" si="29"/>
        <v>47660661.127778776</v>
      </c>
      <c r="P153" s="172">
        <f t="shared" si="29"/>
        <v>8102312.3917223923</v>
      </c>
      <c r="Q153" s="172">
        <f t="shared" si="29"/>
        <v>39558348.736056387</v>
      </c>
      <c r="S153" s="172">
        <f t="shared" si="38"/>
        <v>0</v>
      </c>
      <c r="T153" s="172">
        <f t="shared" si="38"/>
        <v>0</v>
      </c>
      <c r="U153" s="172">
        <f t="shared" si="30"/>
        <v>0</v>
      </c>
      <c r="V153" s="172">
        <f t="shared" si="30"/>
        <v>0</v>
      </c>
      <c r="W153" s="172">
        <f t="shared" si="31"/>
        <v>0</v>
      </c>
      <c r="Y153" s="172">
        <f t="shared" si="39"/>
        <v>0</v>
      </c>
      <c r="Z153" s="172">
        <f t="shared" si="39"/>
        <v>0</v>
      </c>
      <c r="AA153" s="172">
        <f t="shared" si="32"/>
        <v>0</v>
      </c>
      <c r="AB153" s="172">
        <f t="shared" si="32"/>
        <v>0</v>
      </c>
      <c r="AC153" s="172">
        <f t="shared" si="33"/>
        <v>0</v>
      </c>
      <c r="AE153" s="172">
        <f t="shared" si="40"/>
        <v>0</v>
      </c>
      <c r="AF153" s="172">
        <f t="shared" si="40"/>
        <v>0</v>
      </c>
      <c r="AG153" s="172">
        <f t="shared" si="34"/>
        <v>0</v>
      </c>
      <c r="AH153" s="172">
        <f t="shared" si="34"/>
        <v>0</v>
      </c>
      <c r="AI153" s="172">
        <f t="shared" si="35"/>
        <v>0</v>
      </c>
      <c r="AK153" s="172">
        <f t="shared" si="36"/>
        <v>0</v>
      </c>
      <c r="AL153" s="172">
        <f t="shared" si="36"/>
        <v>0</v>
      </c>
      <c r="AM153" s="172">
        <f t="shared" si="22"/>
        <v>0</v>
      </c>
      <c r="AN153" s="172">
        <f t="shared" si="22"/>
        <v>0</v>
      </c>
      <c r="AO153" s="172">
        <f t="shared" si="37"/>
        <v>0</v>
      </c>
    </row>
    <row r="154" spans="1:41">
      <c r="A154" s="573">
        <v>2034</v>
      </c>
      <c r="B154" s="171">
        <v>45600.929642776973</v>
      </c>
      <c r="C154" s="172">
        <f t="shared" si="23"/>
        <v>16644339.319613595</v>
      </c>
      <c r="D154" s="172">
        <f t="shared" si="24"/>
        <v>2829537.6843343112</v>
      </c>
      <c r="E154" s="172">
        <f t="shared" si="25"/>
        <v>13814801.635279283</v>
      </c>
      <c r="G154" s="573">
        <v>2034</v>
      </c>
      <c r="H154" s="171">
        <v>87071.215199975879</v>
      </c>
      <c r="I154" s="172">
        <f t="shared" si="26"/>
        <v>31780993.547991198</v>
      </c>
      <c r="J154" s="172">
        <f t="shared" si="27"/>
        <v>5402768.9031585036</v>
      </c>
      <c r="K154" s="172">
        <f t="shared" si="28"/>
        <v>26378224.644832693</v>
      </c>
      <c r="M154" s="573">
        <v>2034</v>
      </c>
      <c r="N154" s="176">
        <f t="shared" si="29"/>
        <v>132672.14484275284</v>
      </c>
      <c r="O154" s="172">
        <f t="shared" si="29"/>
        <v>48425332.867604792</v>
      </c>
      <c r="P154" s="172">
        <f t="shared" si="29"/>
        <v>8232306.5874928143</v>
      </c>
      <c r="Q154" s="172">
        <f t="shared" si="29"/>
        <v>40193026.280111976</v>
      </c>
      <c r="S154" s="172">
        <f t="shared" si="38"/>
        <v>0</v>
      </c>
      <c r="T154" s="172">
        <f t="shared" si="38"/>
        <v>0</v>
      </c>
      <c r="U154" s="172">
        <f t="shared" si="30"/>
        <v>0</v>
      </c>
      <c r="V154" s="172">
        <f t="shared" si="30"/>
        <v>0</v>
      </c>
      <c r="W154" s="172">
        <f t="shared" si="31"/>
        <v>0</v>
      </c>
      <c r="Y154" s="172">
        <f t="shared" si="39"/>
        <v>0</v>
      </c>
      <c r="Z154" s="172">
        <f t="shared" si="39"/>
        <v>0</v>
      </c>
      <c r="AA154" s="172">
        <f t="shared" si="32"/>
        <v>0</v>
      </c>
      <c r="AB154" s="172">
        <f t="shared" si="32"/>
        <v>0</v>
      </c>
      <c r="AC154" s="172">
        <f t="shared" si="33"/>
        <v>0</v>
      </c>
      <c r="AE154" s="172">
        <f t="shared" si="40"/>
        <v>0</v>
      </c>
      <c r="AF154" s="172">
        <f t="shared" si="40"/>
        <v>0</v>
      </c>
      <c r="AG154" s="172">
        <f t="shared" si="34"/>
        <v>0</v>
      </c>
      <c r="AH154" s="172">
        <f t="shared" si="34"/>
        <v>0</v>
      </c>
      <c r="AI154" s="172">
        <f t="shared" si="35"/>
        <v>0</v>
      </c>
      <c r="AK154" s="172">
        <f t="shared" si="36"/>
        <v>0</v>
      </c>
      <c r="AL154" s="172">
        <f t="shared" si="36"/>
        <v>0</v>
      </c>
      <c r="AM154" s="172">
        <f t="shared" si="22"/>
        <v>0</v>
      </c>
      <c r="AN154" s="172">
        <f t="shared" si="22"/>
        <v>0</v>
      </c>
      <c r="AO154" s="172">
        <f t="shared" si="37"/>
        <v>0</v>
      </c>
    </row>
    <row r="155" spans="1:41">
      <c r="A155" s="573">
        <v>2035</v>
      </c>
      <c r="B155" s="171">
        <v>46332.211839359559</v>
      </c>
      <c r="C155" s="172">
        <f t="shared" si="23"/>
        <v>16911257.321366239</v>
      </c>
      <c r="D155" s="172">
        <f t="shared" si="24"/>
        <v>2874913.7446322609</v>
      </c>
      <c r="E155" s="172">
        <f t="shared" si="25"/>
        <v>14036343.576733978</v>
      </c>
      <c r="G155" s="573">
        <v>2035</v>
      </c>
      <c r="H155" s="171">
        <v>88468.559369705094</v>
      </c>
      <c r="I155" s="172">
        <f t="shared" si="26"/>
        <v>32291024.16994236</v>
      </c>
      <c r="J155" s="172">
        <f t="shared" si="27"/>
        <v>5489474.1088902019</v>
      </c>
      <c r="K155" s="172">
        <f t="shared" si="28"/>
        <v>26801550.061052158</v>
      </c>
      <c r="M155" s="573">
        <v>2035</v>
      </c>
      <c r="N155" s="176">
        <f t="shared" si="29"/>
        <v>134800.77120906464</v>
      </c>
      <c r="O155" s="172">
        <f t="shared" si="29"/>
        <v>49202281.4913086</v>
      </c>
      <c r="P155" s="172">
        <f t="shared" si="29"/>
        <v>8364387.8535224628</v>
      </c>
      <c r="Q155" s="172">
        <f t="shared" si="29"/>
        <v>40837893.637786135</v>
      </c>
      <c r="S155" s="172">
        <f t="shared" ref="S155:T160" si="41">S154*1.016</f>
        <v>0</v>
      </c>
      <c r="T155" s="172">
        <f t="shared" si="41"/>
        <v>0</v>
      </c>
      <c r="U155" s="172">
        <f t="shared" si="30"/>
        <v>0</v>
      </c>
      <c r="V155" s="172">
        <f t="shared" si="30"/>
        <v>0</v>
      </c>
      <c r="W155" s="172">
        <f t="shared" si="31"/>
        <v>0</v>
      </c>
      <c r="Y155" s="172">
        <f t="shared" ref="Y155:Z160" si="42">Y154*1.016</f>
        <v>0</v>
      </c>
      <c r="Z155" s="172">
        <f t="shared" si="42"/>
        <v>0</v>
      </c>
      <c r="AA155" s="172">
        <f t="shared" si="32"/>
        <v>0</v>
      </c>
      <c r="AB155" s="172">
        <f t="shared" si="32"/>
        <v>0</v>
      </c>
      <c r="AC155" s="172">
        <f t="shared" si="33"/>
        <v>0</v>
      </c>
      <c r="AE155" s="172">
        <f t="shared" ref="AE155:AF160" si="43">AE154*1.016</f>
        <v>0</v>
      </c>
      <c r="AF155" s="172">
        <f t="shared" si="43"/>
        <v>0</v>
      </c>
      <c r="AG155" s="172">
        <f t="shared" si="34"/>
        <v>0</v>
      </c>
      <c r="AH155" s="172">
        <f t="shared" si="34"/>
        <v>0</v>
      </c>
      <c r="AI155" s="172">
        <f t="shared" si="35"/>
        <v>0</v>
      </c>
      <c r="AK155" s="172">
        <f t="shared" si="36"/>
        <v>0</v>
      </c>
      <c r="AL155" s="172">
        <f t="shared" si="36"/>
        <v>0</v>
      </c>
      <c r="AM155" s="172">
        <f t="shared" si="22"/>
        <v>0</v>
      </c>
      <c r="AN155" s="172">
        <f t="shared" si="22"/>
        <v>0</v>
      </c>
      <c r="AO155" s="172">
        <f t="shared" si="37"/>
        <v>0</v>
      </c>
    </row>
    <row r="156" spans="1:41">
      <c r="A156" s="573">
        <v>2036</v>
      </c>
      <c r="B156" s="171">
        <v>47075.241694328972</v>
      </c>
      <c r="C156" s="172">
        <f t="shared" si="23"/>
        <v>17182463.218430076</v>
      </c>
      <c r="D156" s="172">
        <f t="shared" si="24"/>
        <v>2921018.747133113</v>
      </c>
      <c r="E156" s="172">
        <f t="shared" si="25"/>
        <v>14261444.471296962</v>
      </c>
      <c r="G156" s="573">
        <v>2036</v>
      </c>
      <c r="H156" s="171">
        <v>89888.331537135964</v>
      </c>
      <c r="I156" s="172">
        <f t="shared" si="26"/>
        <v>32809241.011054628</v>
      </c>
      <c r="J156" s="172">
        <f t="shared" si="27"/>
        <v>5577570.9718792867</v>
      </c>
      <c r="K156" s="172">
        <f t="shared" si="28"/>
        <v>27231670.039175339</v>
      </c>
      <c r="M156" s="573">
        <v>2036</v>
      </c>
      <c r="N156" s="176">
        <f t="shared" si="29"/>
        <v>136963.57323146495</v>
      </c>
      <c r="O156" s="172">
        <f t="shared" si="29"/>
        <v>49991704.229484707</v>
      </c>
      <c r="P156" s="172">
        <f t="shared" si="29"/>
        <v>8498589.7190124001</v>
      </c>
      <c r="Q156" s="172">
        <f t="shared" si="29"/>
        <v>41493114.510472298</v>
      </c>
      <c r="S156" s="172">
        <f t="shared" si="41"/>
        <v>0</v>
      </c>
      <c r="T156" s="172">
        <f t="shared" si="41"/>
        <v>0</v>
      </c>
      <c r="U156" s="172">
        <f t="shared" si="30"/>
        <v>0</v>
      </c>
      <c r="V156" s="172">
        <f t="shared" si="30"/>
        <v>0</v>
      </c>
      <c r="W156" s="172">
        <f t="shared" si="31"/>
        <v>0</v>
      </c>
      <c r="Y156" s="172">
        <f t="shared" si="42"/>
        <v>0</v>
      </c>
      <c r="Z156" s="172">
        <f t="shared" si="42"/>
        <v>0</v>
      </c>
      <c r="AA156" s="172">
        <f t="shared" si="32"/>
        <v>0</v>
      </c>
      <c r="AB156" s="172">
        <f t="shared" si="32"/>
        <v>0</v>
      </c>
      <c r="AC156" s="172">
        <f t="shared" si="33"/>
        <v>0</v>
      </c>
      <c r="AE156" s="172">
        <f t="shared" si="43"/>
        <v>0</v>
      </c>
      <c r="AF156" s="172">
        <f t="shared" si="43"/>
        <v>0</v>
      </c>
      <c r="AG156" s="172">
        <f t="shared" si="34"/>
        <v>0</v>
      </c>
      <c r="AH156" s="172">
        <f t="shared" si="34"/>
        <v>0</v>
      </c>
      <c r="AI156" s="172">
        <f t="shared" si="35"/>
        <v>0</v>
      </c>
      <c r="AK156" s="172">
        <f t="shared" si="36"/>
        <v>0</v>
      </c>
      <c r="AL156" s="172">
        <f t="shared" si="36"/>
        <v>0</v>
      </c>
      <c r="AM156" s="172">
        <f t="shared" si="22"/>
        <v>0</v>
      </c>
      <c r="AN156" s="172">
        <f t="shared" si="22"/>
        <v>0</v>
      </c>
      <c r="AO156" s="172">
        <f t="shared" si="37"/>
        <v>0</v>
      </c>
    </row>
    <row r="157" spans="1:41">
      <c r="A157" s="573">
        <v>2037</v>
      </c>
      <c r="B157" s="171">
        <v>47830.208223786591</v>
      </c>
      <c r="C157" s="172">
        <f t="shared" si="23"/>
        <v>17458026.001682106</v>
      </c>
      <c r="D157" s="172">
        <f t="shared" si="24"/>
        <v>2967864.4202859583</v>
      </c>
      <c r="E157" s="172">
        <f t="shared" si="25"/>
        <v>14490161.581396148</v>
      </c>
      <c r="G157" s="573">
        <v>2037</v>
      </c>
      <c r="H157" s="171">
        <v>91330.891730034855</v>
      </c>
      <c r="I157" s="172">
        <f t="shared" si="26"/>
        <v>33335775.481462721</v>
      </c>
      <c r="J157" s="172">
        <f t="shared" si="27"/>
        <v>5667081.8318486633</v>
      </c>
      <c r="K157" s="172">
        <f t="shared" si="28"/>
        <v>27668693.649614058</v>
      </c>
      <c r="M157" s="573">
        <v>2037</v>
      </c>
      <c r="N157" s="176">
        <f t="shared" si="29"/>
        <v>139161.09995382145</v>
      </c>
      <c r="O157" s="172">
        <f t="shared" si="29"/>
        <v>50793801.483144827</v>
      </c>
      <c r="P157" s="172">
        <f t="shared" si="29"/>
        <v>8634946.2521346211</v>
      </c>
      <c r="Q157" s="172">
        <f t="shared" si="29"/>
        <v>42158855.231010206</v>
      </c>
      <c r="S157" s="172">
        <f t="shared" si="41"/>
        <v>0</v>
      </c>
      <c r="T157" s="172">
        <f t="shared" si="41"/>
        <v>0</v>
      </c>
      <c r="U157" s="172">
        <f t="shared" si="30"/>
        <v>0</v>
      </c>
      <c r="V157" s="172">
        <f t="shared" si="30"/>
        <v>0</v>
      </c>
      <c r="W157" s="172">
        <f t="shared" si="31"/>
        <v>0</v>
      </c>
      <c r="Y157" s="172">
        <f t="shared" si="42"/>
        <v>0</v>
      </c>
      <c r="Z157" s="172">
        <f t="shared" si="42"/>
        <v>0</v>
      </c>
      <c r="AA157" s="172">
        <f t="shared" si="32"/>
        <v>0</v>
      </c>
      <c r="AB157" s="172">
        <f t="shared" si="32"/>
        <v>0</v>
      </c>
      <c r="AC157" s="172">
        <f t="shared" si="33"/>
        <v>0</v>
      </c>
      <c r="AE157" s="172">
        <f t="shared" si="43"/>
        <v>0</v>
      </c>
      <c r="AF157" s="172">
        <f t="shared" si="43"/>
        <v>0</v>
      </c>
      <c r="AG157" s="172">
        <f t="shared" si="34"/>
        <v>0</v>
      </c>
      <c r="AH157" s="172">
        <f t="shared" si="34"/>
        <v>0</v>
      </c>
      <c r="AI157" s="172">
        <f t="shared" si="35"/>
        <v>0</v>
      </c>
      <c r="AK157" s="172">
        <f t="shared" si="36"/>
        <v>0</v>
      </c>
      <c r="AL157" s="172">
        <f t="shared" si="36"/>
        <v>0</v>
      </c>
      <c r="AM157" s="172">
        <f t="shared" si="22"/>
        <v>0</v>
      </c>
      <c r="AN157" s="172">
        <f t="shared" si="22"/>
        <v>0</v>
      </c>
      <c r="AO157" s="172">
        <f t="shared" si="37"/>
        <v>0</v>
      </c>
    </row>
    <row r="158" spans="1:41">
      <c r="A158" s="573">
        <v>2038</v>
      </c>
      <c r="B158" s="174">
        <v>48597.303489450853</v>
      </c>
      <c r="C158" s="172">
        <f t="shared" si="23"/>
        <v>17738015.773649562</v>
      </c>
      <c r="D158" s="172">
        <f t="shared" si="24"/>
        <v>3015462.6815204257</v>
      </c>
      <c r="E158" s="172">
        <f t="shared" si="25"/>
        <v>14722553.092129137</v>
      </c>
      <c r="G158" s="573">
        <v>2038</v>
      </c>
      <c r="H158" s="174">
        <v>92796.605756330566</v>
      </c>
      <c r="I158" s="172">
        <f t="shared" si="26"/>
        <v>33870761.101060659</v>
      </c>
      <c r="J158" s="172">
        <f t="shared" si="27"/>
        <v>5758029.3871803125</v>
      </c>
      <c r="K158" s="172">
        <f t="shared" si="28"/>
        <v>28112731.713880345</v>
      </c>
      <c r="M158" s="573">
        <v>2038</v>
      </c>
      <c r="N158" s="176">
        <f t="shared" si="29"/>
        <v>141393.90924578143</v>
      </c>
      <c r="O158" s="172">
        <f t="shared" si="29"/>
        <v>51608776.874710217</v>
      </c>
      <c r="P158" s="172">
        <f t="shared" si="29"/>
        <v>8773492.0687007383</v>
      </c>
      <c r="Q158" s="172">
        <f t="shared" si="29"/>
        <v>42835284.806009486</v>
      </c>
      <c r="S158" s="172">
        <f t="shared" si="41"/>
        <v>0</v>
      </c>
      <c r="T158" s="172">
        <f t="shared" si="41"/>
        <v>0</v>
      </c>
      <c r="U158" s="172">
        <f t="shared" si="30"/>
        <v>0</v>
      </c>
      <c r="V158" s="172">
        <f t="shared" si="30"/>
        <v>0</v>
      </c>
      <c r="W158" s="172">
        <f t="shared" si="31"/>
        <v>0</v>
      </c>
      <c r="Y158" s="172">
        <f t="shared" si="42"/>
        <v>0</v>
      </c>
      <c r="Z158" s="172">
        <f t="shared" si="42"/>
        <v>0</v>
      </c>
      <c r="AA158" s="172">
        <f t="shared" si="32"/>
        <v>0</v>
      </c>
      <c r="AB158" s="172">
        <f t="shared" si="32"/>
        <v>0</v>
      </c>
      <c r="AC158" s="172">
        <f t="shared" si="33"/>
        <v>0</v>
      </c>
      <c r="AE158" s="172">
        <f t="shared" si="43"/>
        <v>0</v>
      </c>
      <c r="AF158" s="172">
        <f t="shared" si="43"/>
        <v>0</v>
      </c>
      <c r="AG158" s="172">
        <f t="shared" si="34"/>
        <v>0</v>
      </c>
      <c r="AH158" s="172">
        <f t="shared" si="34"/>
        <v>0</v>
      </c>
      <c r="AI158" s="172">
        <f t="shared" si="35"/>
        <v>0</v>
      </c>
      <c r="AK158" s="172">
        <f t="shared" si="36"/>
        <v>0</v>
      </c>
      <c r="AL158" s="172">
        <f t="shared" si="36"/>
        <v>0</v>
      </c>
      <c r="AM158" s="172">
        <f t="shared" si="22"/>
        <v>0</v>
      </c>
      <c r="AN158" s="172">
        <f t="shared" si="22"/>
        <v>0</v>
      </c>
      <c r="AO158" s="172">
        <f t="shared" si="37"/>
        <v>0</v>
      </c>
    </row>
    <row r="159" spans="1:41">
      <c r="A159" s="573">
        <v>2039</v>
      </c>
      <c r="B159" s="171">
        <v>49376.722647798553</v>
      </c>
      <c r="C159" s="172">
        <f t="shared" si="23"/>
        <v>18022503.766446471</v>
      </c>
      <c r="D159" s="172">
        <f t="shared" si="24"/>
        <v>3063825.6402959004</v>
      </c>
      <c r="E159" s="172">
        <f t="shared" si="25"/>
        <v>14958678.126150571</v>
      </c>
      <c r="G159" s="573">
        <v>2039</v>
      </c>
      <c r="H159" s="171">
        <v>94285.845296925851</v>
      </c>
      <c r="I159" s="172">
        <f t="shared" si="26"/>
        <v>34414333.533377938</v>
      </c>
      <c r="J159" s="172">
        <f t="shared" si="27"/>
        <v>5850436.7006742498</v>
      </c>
      <c r="K159" s="172">
        <f t="shared" si="28"/>
        <v>28563896.832703687</v>
      </c>
      <c r="M159" s="573">
        <v>2039</v>
      </c>
      <c r="N159" s="176">
        <f t="shared" si="29"/>
        <v>143662.5679447244</v>
      </c>
      <c r="O159" s="172">
        <f t="shared" si="29"/>
        <v>52436837.299824409</v>
      </c>
      <c r="P159" s="172">
        <f t="shared" si="29"/>
        <v>8914262.3409701511</v>
      </c>
      <c r="Q159" s="172">
        <f t="shared" si="29"/>
        <v>43522574.958854258</v>
      </c>
      <c r="S159" s="172">
        <f t="shared" si="41"/>
        <v>0</v>
      </c>
      <c r="T159" s="172">
        <f t="shared" si="41"/>
        <v>0</v>
      </c>
      <c r="U159" s="172">
        <f t="shared" si="30"/>
        <v>0</v>
      </c>
      <c r="V159" s="172">
        <f t="shared" si="30"/>
        <v>0</v>
      </c>
      <c r="W159" s="172">
        <f t="shared" si="31"/>
        <v>0</v>
      </c>
      <c r="Y159" s="172">
        <f t="shared" si="42"/>
        <v>0</v>
      </c>
      <c r="Z159" s="172">
        <f t="shared" si="42"/>
        <v>0</v>
      </c>
      <c r="AA159" s="172">
        <f t="shared" si="32"/>
        <v>0</v>
      </c>
      <c r="AB159" s="172">
        <f t="shared" si="32"/>
        <v>0</v>
      </c>
      <c r="AC159" s="172">
        <f t="shared" si="33"/>
        <v>0</v>
      </c>
      <c r="AE159" s="172">
        <f t="shared" si="43"/>
        <v>0</v>
      </c>
      <c r="AF159" s="172">
        <f t="shared" si="43"/>
        <v>0</v>
      </c>
      <c r="AG159" s="172">
        <f t="shared" si="34"/>
        <v>0</v>
      </c>
      <c r="AH159" s="172">
        <f t="shared" si="34"/>
        <v>0</v>
      </c>
      <c r="AI159" s="172">
        <f t="shared" si="35"/>
        <v>0</v>
      </c>
      <c r="AK159" s="172">
        <f t="shared" si="36"/>
        <v>0</v>
      </c>
      <c r="AL159" s="172">
        <f t="shared" si="36"/>
        <v>0</v>
      </c>
      <c r="AM159" s="172">
        <f t="shared" si="22"/>
        <v>0</v>
      </c>
      <c r="AN159" s="172">
        <f t="shared" si="22"/>
        <v>0</v>
      </c>
      <c r="AO159" s="172">
        <f t="shared" si="37"/>
        <v>0</v>
      </c>
    </row>
    <row r="160" spans="1:41">
      <c r="A160" s="573">
        <v>2040</v>
      </c>
      <c r="B160" s="171">
        <v>50168.664000000004</v>
      </c>
      <c r="C160" s="172">
        <f t="shared" si="23"/>
        <v>18311562.360000003</v>
      </c>
      <c r="D160" s="172">
        <f t="shared" si="24"/>
        <v>3112965.6012000008</v>
      </c>
      <c r="E160" s="172">
        <f t="shared" si="25"/>
        <v>15198596.758800002</v>
      </c>
      <c r="G160" s="573">
        <v>2040</v>
      </c>
      <c r="H160" s="171">
        <v>95798.987999999983</v>
      </c>
      <c r="I160" s="172">
        <f t="shared" si="26"/>
        <v>34966630.619999997</v>
      </c>
      <c r="J160" s="172">
        <f t="shared" si="27"/>
        <v>5944327.2054000003</v>
      </c>
      <c r="K160" s="172">
        <f t="shared" si="28"/>
        <v>29022303.414599996</v>
      </c>
      <c r="M160" s="573">
        <v>2040</v>
      </c>
      <c r="N160" s="176">
        <f t="shared" si="29"/>
        <v>145967.652</v>
      </c>
      <c r="O160" s="172">
        <f t="shared" si="29"/>
        <v>53278192.980000004</v>
      </c>
      <c r="P160" s="172">
        <f t="shared" si="29"/>
        <v>9057292.8066000007</v>
      </c>
      <c r="Q160" s="172">
        <f t="shared" si="29"/>
        <v>44220900.1734</v>
      </c>
      <c r="S160" s="172">
        <f t="shared" si="41"/>
        <v>0</v>
      </c>
      <c r="T160" s="172">
        <f t="shared" si="41"/>
        <v>0</v>
      </c>
      <c r="U160" s="172">
        <f t="shared" si="30"/>
        <v>0</v>
      </c>
      <c r="V160" s="172">
        <f t="shared" si="30"/>
        <v>0</v>
      </c>
      <c r="W160" s="172">
        <f t="shared" si="31"/>
        <v>0</v>
      </c>
      <c r="Y160" s="172">
        <f t="shared" si="42"/>
        <v>0</v>
      </c>
      <c r="Z160" s="172">
        <f t="shared" si="42"/>
        <v>0</v>
      </c>
      <c r="AA160" s="172">
        <f t="shared" si="32"/>
        <v>0</v>
      </c>
      <c r="AB160" s="172">
        <f t="shared" si="32"/>
        <v>0</v>
      </c>
      <c r="AC160" s="172">
        <f t="shared" si="33"/>
        <v>0</v>
      </c>
      <c r="AE160" s="172">
        <f t="shared" si="43"/>
        <v>0</v>
      </c>
      <c r="AF160" s="172">
        <f t="shared" si="43"/>
        <v>0</v>
      </c>
      <c r="AG160" s="172">
        <f t="shared" si="34"/>
        <v>0</v>
      </c>
      <c r="AH160" s="172">
        <f t="shared" si="34"/>
        <v>0</v>
      </c>
      <c r="AI160" s="172">
        <f t="shared" si="35"/>
        <v>0</v>
      </c>
      <c r="AK160" s="172">
        <f t="shared" si="36"/>
        <v>0</v>
      </c>
      <c r="AL160" s="172">
        <f t="shared" si="36"/>
        <v>0</v>
      </c>
      <c r="AM160" s="172">
        <f t="shared" si="22"/>
        <v>0</v>
      </c>
      <c r="AN160" s="172">
        <f t="shared" si="22"/>
        <v>0</v>
      </c>
      <c r="AO160" s="172">
        <f t="shared" si="37"/>
        <v>0</v>
      </c>
    </row>
    <row r="161" spans="1:41">
      <c r="A161" s="573">
        <v>2041</v>
      </c>
      <c r="B161" s="171">
        <v>50622.652581939125</v>
      </c>
      <c r="C161" s="172">
        <f t="shared" si="23"/>
        <v>18477268.192407779</v>
      </c>
      <c r="D161" s="172">
        <f t="shared" si="24"/>
        <v>3141135.5927093229</v>
      </c>
      <c r="E161" s="172">
        <f t="shared" si="25"/>
        <v>15336132.599698456</v>
      </c>
      <c r="G161" s="573">
        <v>2041</v>
      </c>
      <c r="H161" s="171">
        <v>96674.973445871277</v>
      </c>
      <c r="I161" s="172">
        <f t="shared" si="26"/>
        <v>35286365.307743013</v>
      </c>
      <c r="J161" s="172">
        <f t="shared" si="27"/>
        <v>5998682.1023163125</v>
      </c>
      <c r="K161" s="172">
        <f t="shared" si="28"/>
        <v>29287683.2054267</v>
      </c>
      <c r="M161" s="573">
        <v>2041</v>
      </c>
      <c r="N161" s="176">
        <f t="shared" si="29"/>
        <v>147297.62602781039</v>
      </c>
      <c r="O161" s="172">
        <f t="shared" si="29"/>
        <v>53763633.500150792</v>
      </c>
      <c r="P161" s="172">
        <f t="shared" si="29"/>
        <v>9139817.6950256359</v>
      </c>
      <c r="Q161" s="172">
        <f t="shared" si="29"/>
        <v>44623815.805125155</v>
      </c>
      <c r="S161" s="172">
        <f>S160*1.009</f>
        <v>0</v>
      </c>
      <c r="T161" s="172">
        <f>T160*1.009</f>
        <v>0</v>
      </c>
      <c r="U161" s="172">
        <f t="shared" si="30"/>
        <v>0</v>
      </c>
      <c r="V161" s="172">
        <f t="shared" si="30"/>
        <v>0</v>
      </c>
      <c r="W161" s="172">
        <f t="shared" si="31"/>
        <v>0</v>
      </c>
      <c r="Y161" s="172">
        <f>Y160*1.009</f>
        <v>0</v>
      </c>
      <c r="Z161" s="172">
        <f>Z160*1.009</f>
        <v>0</v>
      </c>
      <c r="AA161" s="172">
        <f t="shared" si="32"/>
        <v>0</v>
      </c>
      <c r="AB161" s="172">
        <f t="shared" si="32"/>
        <v>0</v>
      </c>
      <c r="AC161" s="172">
        <f t="shared" si="33"/>
        <v>0</v>
      </c>
      <c r="AE161" s="172">
        <f>AE160*1.009</f>
        <v>0</v>
      </c>
      <c r="AF161" s="172">
        <f>AF160*1.009</f>
        <v>0</v>
      </c>
      <c r="AG161" s="172">
        <f t="shared" si="34"/>
        <v>0</v>
      </c>
      <c r="AH161" s="172">
        <f t="shared" si="34"/>
        <v>0</v>
      </c>
      <c r="AI161" s="172">
        <f t="shared" si="35"/>
        <v>0</v>
      </c>
      <c r="AK161" s="172">
        <f t="shared" si="36"/>
        <v>0</v>
      </c>
      <c r="AL161" s="172">
        <f t="shared" si="36"/>
        <v>0</v>
      </c>
      <c r="AM161" s="172">
        <f t="shared" si="22"/>
        <v>0</v>
      </c>
      <c r="AN161" s="172">
        <f t="shared" si="22"/>
        <v>0</v>
      </c>
      <c r="AO161" s="172">
        <f t="shared" si="37"/>
        <v>0</v>
      </c>
    </row>
    <row r="162" spans="1:41">
      <c r="A162" s="573">
        <v>2042</v>
      </c>
      <c r="B162" s="171">
        <v>51080.765242490073</v>
      </c>
      <c r="C162" s="172">
        <f t="shared" si="23"/>
        <v>18644479.313508876</v>
      </c>
      <c r="D162" s="172">
        <f t="shared" si="24"/>
        <v>3169561.4832965089</v>
      </c>
      <c r="E162" s="172">
        <f t="shared" si="25"/>
        <v>15474917.830212366</v>
      </c>
      <c r="G162" s="573">
        <v>2042</v>
      </c>
      <c r="H162" s="171">
        <v>97558.969703695737</v>
      </c>
      <c r="I162" s="172">
        <f t="shared" si="26"/>
        <v>35609023.941848941</v>
      </c>
      <c r="J162" s="172">
        <f t="shared" si="27"/>
        <v>6053534.0701143201</v>
      </c>
      <c r="K162" s="172">
        <f t="shared" si="28"/>
        <v>29555489.871734619</v>
      </c>
      <c r="M162" s="573">
        <v>2042</v>
      </c>
      <c r="N162" s="176">
        <f t="shared" si="29"/>
        <v>148639.73494618581</v>
      </c>
      <c r="O162" s="172">
        <f t="shared" si="29"/>
        <v>54253503.255357817</v>
      </c>
      <c r="P162" s="172">
        <f t="shared" si="29"/>
        <v>9223095.5534108281</v>
      </c>
      <c r="Q162" s="172">
        <f t="shared" si="29"/>
        <v>45030407.701946989</v>
      </c>
      <c r="S162" s="172">
        <f t="shared" ref="S162:T175" si="44">S161*1.009</f>
        <v>0</v>
      </c>
      <c r="T162" s="172">
        <f t="shared" si="44"/>
        <v>0</v>
      </c>
      <c r="U162" s="172">
        <f t="shared" si="30"/>
        <v>0</v>
      </c>
      <c r="V162" s="172">
        <f t="shared" si="30"/>
        <v>0</v>
      </c>
      <c r="W162" s="172">
        <f t="shared" si="31"/>
        <v>0</v>
      </c>
      <c r="Y162" s="172">
        <f t="shared" ref="Y162:Z175" si="45">Y161*1.009</f>
        <v>0</v>
      </c>
      <c r="Z162" s="172">
        <f t="shared" si="45"/>
        <v>0</v>
      </c>
      <c r="AA162" s="172">
        <f t="shared" si="32"/>
        <v>0</v>
      </c>
      <c r="AB162" s="172">
        <f t="shared" si="32"/>
        <v>0</v>
      </c>
      <c r="AC162" s="172">
        <f t="shared" si="33"/>
        <v>0</v>
      </c>
      <c r="AE162" s="172">
        <f t="shared" ref="AE162:AF175" si="46">AE161*1.009</f>
        <v>0</v>
      </c>
      <c r="AF162" s="172">
        <f t="shared" si="46"/>
        <v>0</v>
      </c>
      <c r="AG162" s="172">
        <f t="shared" si="34"/>
        <v>0</v>
      </c>
      <c r="AH162" s="172">
        <f t="shared" si="34"/>
        <v>0</v>
      </c>
      <c r="AI162" s="172">
        <f t="shared" si="35"/>
        <v>0</v>
      </c>
      <c r="AK162" s="172">
        <f t="shared" si="36"/>
        <v>0</v>
      </c>
      <c r="AL162" s="172">
        <f t="shared" si="36"/>
        <v>0</v>
      </c>
      <c r="AM162" s="172">
        <f t="shared" si="22"/>
        <v>0</v>
      </c>
      <c r="AN162" s="172">
        <f t="shared" si="22"/>
        <v>0</v>
      </c>
      <c r="AO162" s="172">
        <f t="shared" si="37"/>
        <v>0</v>
      </c>
    </row>
    <row r="163" spans="1:41">
      <c r="A163" s="573">
        <v>2043</v>
      </c>
      <c r="B163" s="171">
        <v>51543.039569153494</v>
      </c>
      <c r="C163" s="172">
        <f t="shared" si="23"/>
        <v>18813209.442741025</v>
      </c>
      <c r="D163" s="172">
        <f t="shared" si="24"/>
        <v>3198245.6052659745</v>
      </c>
      <c r="E163" s="172">
        <f t="shared" si="25"/>
        <v>15614963.83747505</v>
      </c>
      <c r="G163" s="573">
        <v>2043</v>
      </c>
      <c r="H163" s="171">
        <v>98451.050039178153</v>
      </c>
      <c r="I163" s="172">
        <f t="shared" si="26"/>
        <v>35934633.264300026</v>
      </c>
      <c r="J163" s="172">
        <f t="shared" si="27"/>
        <v>6108887.6549310051</v>
      </c>
      <c r="K163" s="172">
        <f t="shared" si="28"/>
        <v>29825745.609369021</v>
      </c>
      <c r="M163" s="573">
        <v>2043</v>
      </c>
      <c r="N163" s="176">
        <f t="shared" si="29"/>
        <v>149994.08960833165</v>
      </c>
      <c r="O163" s="172">
        <f t="shared" si="29"/>
        <v>54747842.707041055</v>
      </c>
      <c r="P163" s="172">
        <f t="shared" si="29"/>
        <v>9307133.2601969801</v>
      </c>
      <c r="Q163" s="172">
        <f t="shared" si="29"/>
        <v>45440709.446844071</v>
      </c>
      <c r="S163" s="172">
        <f t="shared" si="44"/>
        <v>0</v>
      </c>
      <c r="T163" s="172">
        <f t="shared" si="44"/>
        <v>0</v>
      </c>
      <c r="U163" s="172">
        <f t="shared" si="30"/>
        <v>0</v>
      </c>
      <c r="V163" s="172">
        <f t="shared" si="30"/>
        <v>0</v>
      </c>
      <c r="W163" s="172">
        <f t="shared" si="31"/>
        <v>0</v>
      </c>
      <c r="Y163" s="172">
        <f t="shared" si="45"/>
        <v>0</v>
      </c>
      <c r="Z163" s="172">
        <f t="shared" si="45"/>
        <v>0</v>
      </c>
      <c r="AA163" s="172">
        <f t="shared" si="32"/>
        <v>0</v>
      </c>
      <c r="AB163" s="172">
        <f t="shared" si="32"/>
        <v>0</v>
      </c>
      <c r="AC163" s="172">
        <f t="shared" si="33"/>
        <v>0</v>
      </c>
      <c r="AE163" s="172">
        <f t="shared" si="46"/>
        <v>0</v>
      </c>
      <c r="AF163" s="172">
        <f t="shared" si="46"/>
        <v>0</v>
      </c>
      <c r="AG163" s="172">
        <f t="shared" si="34"/>
        <v>0</v>
      </c>
      <c r="AH163" s="172">
        <f t="shared" si="34"/>
        <v>0</v>
      </c>
      <c r="AI163" s="172">
        <f t="shared" si="35"/>
        <v>0</v>
      </c>
      <c r="AK163" s="172">
        <f t="shared" si="36"/>
        <v>0</v>
      </c>
      <c r="AL163" s="172">
        <f t="shared" si="36"/>
        <v>0</v>
      </c>
      <c r="AM163" s="172">
        <f t="shared" si="22"/>
        <v>0</v>
      </c>
      <c r="AN163" s="172">
        <f t="shared" si="22"/>
        <v>0</v>
      </c>
      <c r="AO163" s="172">
        <f t="shared" si="37"/>
        <v>0</v>
      </c>
    </row>
    <row r="164" spans="1:41">
      <c r="A164" s="573">
        <v>2044</v>
      </c>
      <c r="B164" s="171">
        <v>52009.513493021703</v>
      </c>
      <c r="C164" s="172">
        <f t="shared" si="23"/>
        <v>18983472.424952921</v>
      </c>
      <c r="D164" s="172">
        <f t="shared" si="24"/>
        <v>3227190.3122419966</v>
      </c>
      <c r="E164" s="172">
        <f t="shared" si="25"/>
        <v>15756282.112710923</v>
      </c>
      <c r="G164" s="573">
        <v>2044</v>
      </c>
      <c r="H164" s="171">
        <v>99351.28838817084</v>
      </c>
      <c r="I164" s="172">
        <f t="shared" si="26"/>
        <v>36263220.261682354</v>
      </c>
      <c r="J164" s="172">
        <f t="shared" si="27"/>
        <v>6164747.4444860006</v>
      </c>
      <c r="K164" s="172">
        <f t="shared" si="28"/>
        <v>30098472.817196354</v>
      </c>
      <c r="M164" s="573">
        <v>2044</v>
      </c>
      <c r="N164" s="176">
        <f t="shared" si="29"/>
        <v>151360.80188119254</v>
      </c>
      <c r="O164" s="172">
        <f t="shared" si="29"/>
        <v>55246692.686635271</v>
      </c>
      <c r="P164" s="172">
        <f t="shared" si="29"/>
        <v>9391937.7567279972</v>
      </c>
      <c r="Q164" s="172">
        <f t="shared" si="29"/>
        <v>45854754.929907277</v>
      </c>
      <c r="S164" s="172">
        <f t="shared" si="44"/>
        <v>0</v>
      </c>
      <c r="T164" s="172">
        <f t="shared" si="44"/>
        <v>0</v>
      </c>
      <c r="U164" s="172">
        <f t="shared" si="30"/>
        <v>0</v>
      </c>
      <c r="V164" s="172">
        <f t="shared" si="30"/>
        <v>0</v>
      </c>
      <c r="W164" s="172">
        <f t="shared" si="31"/>
        <v>0</v>
      </c>
      <c r="Y164" s="172">
        <f t="shared" si="45"/>
        <v>0</v>
      </c>
      <c r="Z164" s="172">
        <f t="shared" si="45"/>
        <v>0</v>
      </c>
      <c r="AA164" s="172">
        <f t="shared" si="32"/>
        <v>0</v>
      </c>
      <c r="AB164" s="172">
        <f t="shared" si="32"/>
        <v>0</v>
      </c>
      <c r="AC164" s="172">
        <f t="shared" si="33"/>
        <v>0</v>
      </c>
      <c r="AE164" s="172">
        <f t="shared" si="46"/>
        <v>0</v>
      </c>
      <c r="AF164" s="172">
        <f t="shared" si="46"/>
        <v>0</v>
      </c>
      <c r="AG164" s="172">
        <f t="shared" si="34"/>
        <v>0</v>
      </c>
      <c r="AH164" s="172">
        <f t="shared" si="34"/>
        <v>0</v>
      </c>
      <c r="AI164" s="172">
        <f t="shared" si="35"/>
        <v>0</v>
      </c>
      <c r="AK164" s="172">
        <f t="shared" si="36"/>
        <v>0</v>
      </c>
      <c r="AL164" s="172">
        <f t="shared" si="36"/>
        <v>0</v>
      </c>
      <c r="AM164" s="172">
        <f t="shared" si="22"/>
        <v>0</v>
      </c>
      <c r="AN164" s="172">
        <f t="shared" si="22"/>
        <v>0</v>
      </c>
      <c r="AO164" s="172">
        <f t="shared" si="37"/>
        <v>0</v>
      </c>
    </row>
    <row r="165" spans="1:41">
      <c r="A165" s="573">
        <v>2045</v>
      </c>
      <c r="B165" s="171">
        <v>52480.225291928204</v>
      </c>
      <c r="C165" s="172">
        <f t="shared" si="23"/>
        <v>19155282.231553793</v>
      </c>
      <c r="D165" s="172">
        <f t="shared" si="24"/>
        <v>3256397.9793641451</v>
      </c>
      <c r="E165" s="172">
        <f t="shared" si="25"/>
        <v>15898884.252189647</v>
      </c>
      <c r="G165" s="573">
        <v>2045</v>
      </c>
      <c r="H165" s="171">
        <v>100259.75936280412</v>
      </c>
      <c r="I165" s="172">
        <f t="shared" si="26"/>
        <v>36594812.167423502</v>
      </c>
      <c r="J165" s="172">
        <f t="shared" si="27"/>
        <v>6221118.0684619956</v>
      </c>
      <c r="K165" s="172">
        <f t="shared" si="28"/>
        <v>30373694.098961506</v>
      </c>
      <c r="M165" s="573">
        <v>2045</v>
      </c>
      <c r="N165" s="176">
        <f t="shared" si="29"/>
        <v>152739.98465473234</v>
      </c>
      <c r="O165" s="172">
        <f t="shared" si="29"/>
        <v>55750094.398977295</v>
      </c>
      <c r="P165" s="172">
        <f t="shared" si="29"/>
        <v>9477516.0478261411</v>
      </c>
      <c r="Q165" s="172">
        <f t="shared" si="29"/>
        <v>46272578.351151153</v>
      </c>
      <c r="S165" s="172">
        <f t="shared" si="44"/>
        <v>0</v>
      </c>
      <c r="T165" s="172">
        <f t="shared" si="44"/>
        <v>0</v>
      </c>
      <c r="U165" s="172">
        <f t="shared" si="30"/>
        <v>0</v>
      </c>
      <c r="V165" s="172">
        <f t="shared" si="30"/>
        <v>0</v>
      </c>
      <c r="W165" s="172">
        <f t="shared" si="31"/>
        <v>0</v>
      </c>
      <c r="Y165" s="172">
        <f t="shared" si="45"/>
        <v>0</v>
      </c>
      <c r="Z165" s="172">
        <f t="shared" si="45"/>
        <v>0</v>
      </c>
      <c r="AA165" s="172">
        <f t="shared" si="32"/>
        <v>0</v>
      </c>
      <c r="AB165" s="172">
        <f t="shared" si="32"/>
        <v>0</v>
      </c>
      <c r="AC165" s="172">
        <f t="shared" si="33"/>
        <v>0</v>
      </c>
      <c r="AE165" s="172">
        <f t="shared" si="46"/>
        <v>0</v>
      </c>
      <c r="AF165" s="172">
        <f t="shared" si="46"/>
        <v>0</v>
      </c>
      <c r="AG165" s="172">
        <f t="shared" si="34"/>
        <v>0</v>
      </c>
      <c r="AH165" s="172">
        <f t="shared" si="34"/>
        <v>0</v>
      </c>
      <c r="AI165" s="172">
        <f t="shared" si="35"/>
        <v>0</v>
      </c>
      <c r="AK165" s="172">
        <f t="shared" si="36"/>
        <v>0</v>
      </c>
      <c r="AL165" s="172">
        <f t="shared" si="36"/>
        <v>0</v>
      </c>
      <c r="AM165" s="172">
        <f t="shared" si="22"/>
        <v>0</v>
      </c>
      <c r="AN165" s="172">
        <f t="shared" si="22"/>
        <v>0</v>
      </c>
      <c r="AO165" s="172">
        <f t="shared" si="37"/>
        <v>0</v>
      </c>
    </row>
    <row r="166" spans="1:41">
      <c r="A166" s="573">
        <v>2046</v>
      </c>
      <c r="B166" s="171">
        <v>52955.213593626067</v>
      </c>
      <c r="C166" s="172">
        <f t="shared" si="23"/>
        <v>19328652.961673513</v>
      </c>
      <c r="D166" s="172">
        <f t="shared" si="24"/>
        <v>3285871.0034844973</v>
      </c>
      <c r="E166" s="172">
        <f t="shared" si="25"/>
        <v>16042781.958189016</v>
      </c>
      <c r="G166" s="573">
        <v>2046</v>
      </c>
      <c r="H166" s="171">
        <v>101176.53825767232</v>
      </c>
      <c r="I166" s="172">
        <f t="shared" si="26"/>
        <v>36929436.464050397</v>
      </c>
      <c r="J166" s="172">
        <f t="shared" si="27"/>
        <v>6278004.1988885682</v>
      </c>
      <c r="K166" s="172">
        <f t="shared" si="28"/>
        <v>30651432.265161827</v>
      </c>
      <c r="M166" s="573">
        <v>2046</v>
      </c>
      <c r="N166" s="176">
        <f t="shared" si="29"/>
        <v>154131.75185129838</v>
      </c>
      <c r="O166" s="172">
        <f t="shared" si="29"/>
        <v>56258089.42572391</v>
      </c>
      <c r="P166" s="172">
        <f t="shared" si="29"/>
        <v>9563875.2023730651</v>
      </c>
      <c r="Q166" s="172">
        <f t="shared" si="29"/>
        <v>46694214.223350845</v>
      </c>
      <c r="S166" s="172">
        <f t="shared" si="44"/>
        <v>0</v>
      </c>
      <c r="T166" s="172">
        <f t="shared" si="44"/>
        <v>0</v>
      </c>
      <c r="U166" s="172">
        <f t="shared" si="30"/>
        <v>0</v>
      </c>
      <c r="V166" s="172">
        <f t="shared" si="30"/>
        <v>0</v>
      </c>
      <c r="W166" s="172">
        <f t="shared" si="31"/>
        <v>0</v>
      </c>
      <c r="Y166" s="172">
        <f t="shared" si="45"/>
        <v>0</v>
      </c>
      <c r="Z166" s="172">
        <f t="shared" si="45"/>
        <v>0</v>
      </c>
      <c r="AA166" s="172">
        <f t="shared" si="32"/>
        <v>0</v>
      </c>
      <c r="AB166" s="172">
        <f t="shared" si="32"/>
        <v>0</v>
      </c>
      <c r="AC166" s="172">
        <f t="shared" si="33"/>
        <v>0</v>
      </c>
      <c r="AE166" s="172">
        <f t="shared" si="46"/>
        <v>0</v>
      </c>
      <c r="AF166" s="172">
        <f t="shared" si="46"/>
        <v>0</v>
      </c>
      <c r="AG166" s="172">
        <f t="shared" si="34"/>
        <v>0</v>
      </c>
      <c r="AH166" s="172">
        <f t="shared" si="34"/>
        <v>0</v>
      </c>
      <c r="AI166" s="172">
        <f t="shared" si="35"/>
        <v>0</v>
      </c>
      <c r="AK166" s="172">
        <f t="shared" si="36"/>
        <v>0</v>
      </c>
      <c r="AL166" s="172">
        <f t="shared" si="36"/>
        <v>0</v>
      </c>
      <c r="AM166" s="172">
        <f t="shared" si="22"/>
        <v>0</v>
      </c>
      <c r="AN166" s="172">
        <f t="shared" si="22"/>
        <v>0</v>
      </c>
      <c r="AO166" s="172">
        <f t="shared" si="37"/>
        <v>0</v>
      </c>
    </row>
    <row r="167" spans="1:41">
      <c r="A167" s="573">
        <v>2047</v>
      </c>
      <c r="B167" s="171">
        <v>53434.517378995617</v>
      </c>
      <c r="C167" s="172">
        <f t="shared" si="23"/>
        <v>19503598.843333401</v>
      </c>
      <c r="D167" s="172">
        <f t="shared" si="24"/>
        <v>3315611.8033666783</v>
      </c>
      <c r="E167" s="172">
        <f t="shared" si="25"/>
        <v>16187987.039966723</v>
      </c>
      <c r="G167" s="573">
        <v>2047</v>
      </c>
      <c r="H167" s="171">
        <v>102101.70105607736</v>
      </c>
      <c r="I167" s="172">
        <f t="shared" si="26"/>
        <v>37267120.885468237</v>
      </c>
      <c r="J167" s="172">
        <f t="shared" si="27"/>
        <v>6335410.5505296011</v>
      </c>
      <c r="K167" s="172">
        <f t="shared" si="28"/>
        <v>30931710.334938638</v>
      </c>
      <c r="M167" s="573">
        <v>2047</v>
      </c>
      <c r="N167" s="176">
        <f t="shared" si="29"/>
        <v>155536.21843507298</v>
      </c>
      <c r="O167" s="172">
        <f t="shared" si="29"/>
        <v>56770719.728801638</v>
      </c>
      <c r="P167" s="172">
        <f t="shared" si="29"/>
        <v>9651022.3538962789</v>
      </c>
      <c r="Q167" s="172">
        <f t="shared" si="29"/>
        <v>47119697.374905363</v>
      </c>
      <c r="S167" s="172">
        <f t="shared" si="44"/>
        <v>0</v>
      </c>
      <c r="T167" s="172">
        <f t="shared" si="44"/>
        <v>0</v>
      </c>
      <c r="U167" s="172">
        <f t="shared" si="30"/>
        <v>0</v>
      </c>
      <c r="V167" s="172">
        <f t="shared" si="30"/>
        <v>0</v>
      </c>
      <c r="W167" s="172">
        <f t="shared" si="31"/>
        <v>0</v>
      </c>
      <c r="Y167" s="172">
        <f t="shared" si="45"/>
        <v>0</v>
      </c>
      <c r="Z167" s="172">
        <f t="shared" si="45"/>
        <v>0</v>
      </c>
      <c r="AA167" s="172">
        <f t="shared" si="32"/>
        <v>0</v>
      </c>
      <c r="AB167" s="172">
        <f t="shared" si="32"/>
        <v>0</v>
      </c>
      <c r="AC167" s="172">
        <f t="shared" si="33"/>
        <v>0</v>
      </c>
      <c r="AE167" s="172">
        <f t="shared" si="46"/>
        <v>0</v>
      </c>
      <c r="AF167" s="172">
        <f t="shared" si="46"/>
        <v>0</v>
      </c>
      <c r="AG167" s="172">
        <f t="shared" si="34"/>
        <v>0</v>
      </c>
      <c r="AH167" s="172">
        <f t="shared" si="34"/>
        <v>0</v>
      </c>
      <c r="AI167" s="172">
        <f t="shared" si="35"/>
        <v>0</v>
      </c>
      <c r="AK167" s="172">
        <f t="shared" si="36"/>
        <v>0</v>
      </c>
      <c r="AL167" s="172">
        <f t="shared" si="36"/>
        <v>0</v>
      </c>
      <c r="AM167" s="172">
        <f t="shared" si="22"/>
        <v>0</v>
      </c>
      <c r="AN167" s="172">
        <f t="shared" si="22"/>
        <v>0</v>
      </c>
      <c r="AO167" s="172">
        <f t="shared" si="37"/>
        <v>0</v>
      </c>
    </row>
    <row r="168" spans="1:41">
      <c r="A168" s="573">
        <v>2048</v>
      </c>
      <c r="B168" s="171">
        <v>53918.175985281487</v>
      </c>
      <c r="C168" s="172">
        <f t="shared" si="23"/>
        <v>19680134.234627742</v>
      </c>
      <c r="D168" s="172">
        <f t="shared" si="24"/>
        <v>3345622.8198867165</v>
      </c>
      <c r="E168" s="172">
        <f t="shared" si="25"/>
        <v>16334511.414741026</v>
      </c>
      <c r="G168" s="573">
        <v>2048</v>
      </c>
      <c r="H168" s="171">
        <v>103035.32443632853</v>
      </c>
      <c r="I168" s="172">
        <f t="shared" si="26"/>
        <v>37607893.419259913</v>
      </c>
      <c r="J168" s="172">
        <f t="shared" si="27"/>
        <v>6393341.8812741861</v>
      </c>
      <c r="K168" s="172">
        <f t="shared" si="28"/>
        <v>31214551.537985727</v>
      </c>
      <c r="M168" s="573">
        <v>2048</v>
      </c>
      <c r="N168" s="176">
        <f t="shared" si="29"/>
        <v>156953.50042161002</v>
      </c>
      <c r="O168" s="172">
        <f t="shared" si="29"/>
        <v>57288027.653887659</v>
      </c>
      <c r="P168" s="172">
        <f t="shared" si="29"/>
        <v>9738964.7011609022</v>
      </c>
      <c r="Q168" s="172">
        <f t="shared" si="29"/>
        <v>47549062.952726752</v>
      </c>
      <c r="S168" s="172">
        <f t="shared" si="44"/>
        <v>0</v>
      </c>
      <c r="T168" s="172">
        <f t="shared" si="44"/>
        <v>0</v>
      </c>
      <c r="U168" s="172">
        <f t="shared" si="30"/>
        <v>0</v>
      </c>
      <c r="V168" s="172">
        <f t="shared" si="30"/>
        <v>0</v>
      </c>
      <c r="W168" s="172">
        <f t="shared" si="31"/>
        <v>0</v>
      </c>
      <c r="Y168" s="172">
        <f t="shared" si="45"/>
        <v>0</v>
      </c>
      <c r="Z168" s="172">
        <f t="shared" si="45"/>
        <v>0</v>
      </c>
      <c r="AA168" s="172">
        <f t="shared" si="32"/>
        <v>0</v>
      </c>
      <c r="AB168" s="172">
        <f t="shared" si="32"/>
        <v>0</v>
      </c>
      <c r="AC168" s="172">
        <f t="shared" si="33"/>
        <v>0</v>
      </c>
      <c r="AE168" s="172">
        <f t="shared" si="46"/>
        <v>0</v>
      </c>
      <c r="AF168" s="172">
        <f t="shared" si="46"/>
        <v>0</v>
      </c>
      <c r="AG168" s="172">
        <f t="shared" si="34"/>
        <v>0</v>
      </c>
      <c r="AH168" s="172">
        <f t="shared" si="34"/>
        <v>0</v>
      </c>
      <c r="AI168" s="172">
        <f t="shared" si="35"/>
        <v>0</v>
      </c>
      <c r="AK168" s="172">
        <f t="shared" si="36"/>
        <v>0</v>
      </c>
      <c r="AL168" s="172">
        <f t="shared" si="36"/>
        <v>0</v>
      </c>
      <c r="AM168" s="172">
        <f t="shared" si="22"/>
        <v>0</v>
      </c>
      <c r="AN168" s="172">
        <f t="shared" si="22"/>
        <v>0</v>
      </c>
      <c r="AO168" s="172">
        <f t="shared" si="37"/>
        <v>0</v>
      </c>
    </row>
    <row r="169" spans="1:41">
      <c r="A169" s="573">
        <v>2049</v>
      </c>
      <c r="B169" s="171">
        <v>54406.229109359607</v>
      </c>
      <c r="C169" s="172">
        <f t="shared" si="23"/>
        <v>19858273.624916255</v>
      </c>
      <c r="D169" s="172">
        <f t="shared" si="24"/>
        <v>3375906.5162357637</v>
      </c>
      <c r="E169" s="172">
        <f t="shared" si="25"/>
        <v>16482367.108680492</v>
      </c>
      <c r="G169" s="573">
        <v>2049</v>
      </c>
      <c r="H169" s="171">
        <v>103977.48577810054</v>
      </c>
      <c r="I169" s="172">
        <f t="shared" si="26"/>
        <v>37951782.309006698</v>
      </c>
      <c r="J169" s="172">
        <f t="shared" si="27"/>
        <v>6451802.9925311394</v>
      </c>
      <c r="K169" s="172">
        <f t="shared" si="28"/>
        <v>31499979.316475559</v>
      </c>
      <c r="M169" s="573">
        <v>2049</v>
      </c>
      <c r="N169" s="176">
        <f t="shared" si="29"/>
        <v>158383.71488746014</v>
      </c>
      <c r="O169" s="172">
        <f t="shared" si="29"/>
        <v>57810055.933922954</v>
      </c>
      <c r="P169" s="172">
        <f t="shared" si="29"/>
        <v>9827709.5087669026</v>
      </c>
      <c r="Q169" s="172">
        <f t="shared" si="29"/>
        <v>47982346.425156049</v>
      </c>
      <c r="S169" s="172">
        <f t="shared" si="44"/>
        <v>0</v>
      </c>
      <c r="T169" s="172">
        <f t="shared" si="44"/>
        <v>0</v>
      </c>
      <c r="U169" s="172">
        <f t="shared" si="30"/>
        <v>0</v>
      </c>
      <c r="V169" s="172">
        <f t="shared" si="30"/>
        <v>0</v>
      </c>
      <c r="W169" s="172">
        <f t="shared" si="31"/>
        <v>0</v>
      </c>
      <c r="Y169" s="172">
        <f t="shared" si="45"/>
        <v>0</v>
      </c>
      <c r="Z169" s="172">
        <f t="shared" si="45"/>
        <v>0</v>
      </c>
      <c r="AA169" s="172">
        <f t="shared" si="32"/>
        <v>0</v>
      </c>
      <c r="AB169" s="172">
        <f t="shared" si="32"/>
        <v>0</v>
      </c>
      <c r="AC169" s="172">
        <f t="shared" si="33"/>
        <v>0</v>
      </c>
      <c r="AE169" s="172">
        <f t="shared" si="46"/>
        <v>0</v>
      </c>
      <c r="AF169" s="172">
        <f t="shared" si="46"/>
        <v>0</v>
      </c>
      <c r="AG169" s="172">
        <f t="shared" si="34"/>
        <v>0</v>
      </c>
      <c r="AH169" s="172">
        <f t="shared" si="34"/>
        <v>0</v>
      </c>
      <c r="AI169" s="172">
        <f t="shared" si="35"/>
        <v>0</v>
      </c>
      <c r="AK169" s="172">
        <f t="shared" si="36"/>
        <v>0</v>
      </c>
      <c r="AL169" s="172">
        <f t="shared" si="36"/>
        <v>0</v>
      </c>
      <c r="AM169" s="172">
        <f t="shared" si="22"/>
        <v>0</v>
      </c>
      <c r="AN169" s="172">
        <f t="shared" si="22"/>
        <v>0</v>
      </c>
      <c r="AO169" s="172">
        <f t="shared" si="37"/>
        <v>0</v>
      </c>
    </row>
    <row r="170" spans="1:41">
      <c r="A170" s="573">
        <v>2050</v>
      </c>
      <c r="B170" s="171">
        <v>54898.716811034014</v>
      </c>
      <c r="C170" s="172">
        <f t="shared" si="23"/>
        <v>20038031.636027414</v>
      </c>
      <c r="D170" s="172">
        <f t="shared" si="24"/>
        <v>3406465.3781246608</v>
      </c>
      <c r="E170" s="172">
        <f t="shared" si="25"/>
        <v>16631566.257902753</v>
      </c>
      <c r="G170" s="573">
        <v>2050</v>
      </c>
      <c r="H170" s="171">
        <v>104928.26316884934</v>
      </c>
      <c r="I170" s="172">
        <f t="shared" si="26"/>
        <v>38298816.056630008</v>
      </c>
      <c r="J170" s="172">
        <f t="shared" si="27"/>
        <v>6510798.7296271017</v>
      </c>
      <c r="K170" s="172">
        <f t="shared" si="28"/>
        <v>31788017.327002905</v>
      </c>
      <c r="M170" s="573">
        <v>2050</v>
      </c>
      <c r="N170" s="176">
        <f t="shared" si="29"/>
        <v>159826.97997988336</v>
      </c>
      <c r="O170" s="172">
        <f t="shared" si="29"/>
        <v>58336847.692657426</v>
      </c>
      <c r="P170" s="172">
        <f t="shared" si="29"/>
        <v>9917264.1077517625</v>
      </c>
      <c r="Q170" s="172">
        <f t="shared" si="29"/>
        <v>48419583.584905654</v>
      </c>
      <c r="S170" s="172">
        <f t="shared" si="44"/>
        <v>0</v>
      </c>
      <c r="T170" s="172">
        <f t="shared" si="44"/>
        <v>0</v>
      </c>
      <c r="U170" s="172">
        <f t="shared" si="30"/>
        <v>0</v>
      </c>
      <c r="V170" s="172">
        <f t="shared" si="30"/>
        <v>0</v>
      </c>
      <c r="W170" s="172">
        <f t="shared" si="31"/>
        <v>0</v>
      </c>
      <c r="Y170" s="172">
        <f t="shared" si="45"/>
        <v>0</v>
      </c>
      <c r="Z170" s="172">
        <f t="shared" si="45"/>
        <v>0</v>
      </c>
      <c r="AA170" s="172">
        <f t="shared" si="32"/>
        <v>0</v>
      </c>
      <c r="AB170" s="172">
        <f t="shared" si="32"/>
        <v>0</v>
      </c>
      <c r="AC170" s="172">
        <f t="shared" si="33"/>
        <v>0</v>
      </c>
      <c r="AE170" s="172">
        <f t="shared" si="46"/>
        <v>0</v>
      </c>
      <c r="AF170" s="172">
        <f t="shared" si="46"/>
        <v>0</v>
      </c>
      <c r="AG170" s="172">
        <f t="shared" si="34"/>
        <v>0</v>
      </c>
      <c r="AH170" s="172">
        <f t="shared" si="34"/>
        <v>0</v>
      </c>
      <c r="AI170" s="172">
        <f t="shared" si="35"/>
        <v>0</v>
      </c>
      <c r="AK170" s="172">
        <f t="shared" si="36"/>
        <v>0</v>
      </c>
      <c r="AL170" s="172">
        <f t="shared" si="36"/>
        <v>0</v>
      </c>
      <c r="AM170" s="172">
        <f t="shared" si="22"/>
        <v>0</v>
      </c>
      <c r="AN170" s="172">
        <f t="shared" si="22"/>
        <v>0</v>
      </c>
      <c r="AO170" s="172">
        <f t="shared" si="37"/>
        <v>0</v>
      </c>
    </row>
    <row r="171" spans="1:41">
      <c r="A171" s="573">
        <v>2051</v>
      </c>
      <c r="B171" s="171">
        <v>55395.679516364122</v>
      </c>
      <c r="C171" s="172">
        <f t="shared" si="23"/>
        <v>20219423.023472905</v>
      </c>
      <c r="D171" s="172">
        <f t="shared" si="24"/>
        <v>3437301.9139903942</v>
      </c>
      <c r="E171" s="172">
        <f t="shared" si="25"/>
        <v>16782121.109482512</v>
      </c>
      <c r="G171" s="573">
        <v>2051</v>
      </c>
      <c r="H171" s="171">
        <v>105887.7354102869</v>
      </c>
      <c r="I171" s="172">
        <f t="shared" si="26"/>
        <v>38649023.424754716</v>
      </c>
      <c r="J171" s="172">
        <f t="shared" si="27"/>
        <v>6570333.9822083022</v>
      </c>
      <c r="K171" s="172">
        <f t="shared" si="28"/>
        <v>32078689.442546412</v>
      </c>
      <c r="M171" s="573">
        <v>2051</v>
      </c>
      <c r="N171" s="176">
        <f t="shared" si="29"/>
        <v>161283.41492665102</v>
      </c>
      <c r="O171" s="172">
        <f t="shared" si="29"/>
        <v>58868446.448227622</v>
      </c>
      <c r="P171" s="172">
        <f t="shared" si="29"/>
        <v>10007635.896198697</v>
      </c>
      <c r="Q171" s="172">
        <f t="shared" si="29"/>
        <v>48860810.552028924</v>
      </c>
      <c r="S171" s="172">
        <f t="shared" si="44"/>
        <v>0</v>
      </c>
      <c r="T171" s="172">
        <f t="shared" si="44"/>
        <v>0</v>
      </c>
      <c r="U171" s="172">
        <f t="shared" si="30"/>
        <v>0</v>
      </c>
      <c r="V171" s="172">
        <f t="shared" si="30"/>
        <v>0</v>
      </c>
      <c r="W171" s="172">
        <f t="shared" si="31"/>
        <v>0</v>
      </c>
      <c r="Y171" s="172">
        <f t="shared" si="45"/>
        <v>0</v>
      </c>
      <c r="Z171" s="172">
        <f t="shared" si="45"/>
        <v>0</v>
      </c>
      <c r="AA171" s="172">
        <f t="shared" si="32"/>
        <v>0</v>
      </c>
      <c r="AB171" s="172">
        <f t="shared" si="32"/>
        <v>0</v>
      </c>
      <c r="AC171" s="172">
        <f t="shared" si="33"/>
        <v>0</v>
      </c>
      <c r="AE171" s="172">
        <f t="shared" si="46"/>
        <v>0</v>
      </c>
      <c r="AF171" s="172">
        <f t="shared" si="46"/>
        <v>0</v>
      </c>
      <c r="AG171" s="172">
        <f t="shared" si="34"/>
        <v>0</v>
      </c>
      <c r="AH171" s="172">
        <f t="shared" si="34"/>
        <v>0</v>
      </c>
      <c r="AI171" s="172">
        <f t="shared" si="35"/>
        <v>0</v>
      </c>
      <c r="AK171" s="172">
        <f t="shared" si="36"/>
        <v>0</v>
      </c>
      <c r="AL171" s="172">
        <f t="shared" si="36"/>
        <v>0</v>
      </c>
      <c r="AM171" s="172">
        <f t="shared" si="22"/>
        <v>0</v>
      </c>
      <c r="AN171" s="172">
        <f t="shared" si="22"/>
        <v>0</v>
      </c>
      <c r="AO171" s="172">
        <f t="shared" si="37"/>
        <v>0</v>
      </c>
    </row>
    <row r="172" spans="1:41">
      <c r="A172" s="573">
        <v>2052</v>
      </c>
      <c r="B172" s="171">
        <v>55897.158021022537</v>
      </c>
      <c r="C172" s="172">
        <f t="shared" si="23"/>
        <v>20402462.677673224</v>
      </c>
      <c r="D172" s="172">
        <f t="shared" si="24"/>
        <v>3468418.6552044484</v>
      </c>
      <c r="E172" s="172">
        <f t="shared" si="25"/>
        <v>16934044.022468776</v>
      </c>
      <c r="G172" s="573">
        <v>2052</v>
      </c>
      <c r="H172" s="171">
        <v>106855.98202491493</v>
      </c>
      <c r="I172" s="172">
        <f t="shared" si="26"/>
        <v>39002433.439093947</v>
      </c>
      <c r="J172" s="172">
        <f t="shared" si="27"/>
        <v>6630413.6846459713</v>
      </c>
      <c r="K172" s="172">
        <f t="shared" si="28"/>
        <v>32372019.754447974</v>
      </c>
      <c r="M172" s="573">
        <v>2052</v>
      </c>
      <c r="N172" s="176">
        <f t="shared" si="29"/>
        <v>162753.14004593747</v>
      </c>
      <c r="O172" s="172">
        <f t="shared" si="29"/>
        <v>59404896.116767168</v>
      </c>
      <c r="P172" s="172">
        <f t="shared" si="29"/>
        <v>10098832.33985042</v>
      </c>
      <c r="Q172" s="172">
        <f t="shared" si="29"/>
        <v>49306063.77691675</v>
      </c>
      <c r="S172" s="172">
        <f t="shared" si="44"/>
        <v>0</v>
      </c>
      <c r="T172" s="172">
        <f t="shared" si="44"/>
        <v>0</v>
      </c>
      <c r="U172" s="172">
        <f t="shared" si="30"/>
        <v>0</v>
      </c>
      <c r="V172" s="172">
        <f t="shared" si="30"/>
        <v>0</v>
      </c>
      <c r="W172" s="172">
        <f t="shared" si="31"/>
        <v>0</v>
      </c>
      <c r="Y172" s="172">
        <f t="shared" si="45"/>
        <v>0</v>
      </c>
      <c r="Z172" s="172">
        <f t="shared" si="45"/>
        <v>0</v>
      </c>
      <c r="AA172" s="172">
        <f t="shared" si="32"/>
        <v>0</v>
      </c>
      <c r="AB172" s="172">
        <f t="shared" si="32"/>
        <v>0</v>
      </c>
      <c r="AC172" s="172">
        <f t="shared" si="33"/>
        <v>0</v>
      </c>
      <c r="AE172" s="172">
        <f t="shared" si="46"/>
        <v>0</v>
      </c>
      <c r="AF172" s="172">
        <f t="shared" si="46"/>
        <v>0</v>
      </c>
      <c r="AG172" s="172">
        <f t="shared" si="34"/>
        <v>0</v>
      </c>
      <c r="AH172" s="172">
        <f t="shared" si="34"/>
        <v>0</v>
      </c>
      <c r="AI172" s="172">
        <f t="shared" si="35"/>
        <v>0</v>
      </c>
      <c r="AK172" s="172">
        <f t="shared" si="36"/>
        <v>0</v>
      </c>
      <c r="AL172" s="172">
        <f t="shared" si="36"/>
        <v>0</v>
      </c>
      <c r="AM172" s="172">
        <f t="shared" si="22"/>
        <v>0</v>
      </c>
      <c r="AN172" s="172">
        <f t="shared" si="22"/>
        <v>0</v>
      </c>
      <c r="AO172" s="172">
        <f t="shared" si="37"/>
        <v>0</v>
      </c>
    </row>
    <row r="173" spans="1:41">
      <c r="A173" s="573">
        <v>2053</v>
      </c>
      <c r="B173" s="171">
        <v>56403.193493683655</v>
      </c>
      <c r="C173" s="172">
        <f t="shared" si="23"/>
        <v>20587165.625194535</v>
      </c>
      <c r="D173" s="172">
        <f t="shared" si="24"/>
        <v>3499818.1562830713</v>
      </c>
      <c r="E173" s="172">
        <f t="shared" si="25"/>
        <v>17087347.468911462</v>
      </c>
      <c r="G173" s="573">
        <v>2053</v>
      </c>
      <c r="H173" s="171">
        <v>107833.08326261891</v>
      </c>
      <c r="I173" s="172">
        <f t="shared" si="26"/>
        <v>39359075.390855901</v>
      </c>
      <c r="J173" s="172">
        <f t="shared" si="27"/>
        <v>6691042.8164455034</v>
      </c>
      <c r="K173" s="172">
        <f t="shared" si="28"/>
        <v>32668032.574410398</v>
      </c>
      <c r="M173" s="573">
        <v>2053</v>
      </c>
      <c r="N173" s="176">
        <f t="shared" si="29"/>
        <v>164236.27675630257</v>
      </c>
      <c r="O173" s="172">
        <f t="shared" si="29"/>
        <v>59946241.016050436</v>
      </c>
      <c r="P173" s="172">
        <f t="shared" si="29"/>
        <v>10190860.972728575</v>
      </c>
      <c r="Q173" s="172">
        <f t="shared" si="29"/>
        <v>49755380.043321863</v>
      </c>
      <c r="S173" s="172">
        <f t="shared" si="44"/>
        <v>0</v>
      </c>
      <c r="T173" s="172">
        <f t="shared" si="44"/>
        <v>0</v>
      </c>
      <c r="U173" s="172">
        <f t="shared" si="30"/>
        <v>0</v>
      </c>
      <c r="V173" s="172">
        <f t="shared" si="30"/>
        <v>0</v>
      </c>
      <c r="W173" s="172">
        <f t="shared" si="31"/>
        <v>0</v>
      </c>
      <c r="Y173" s="172">
        <f t="shared" si="45"/>
        <v>0</v>
      </c>
      <c r="Z173" s="172">
        <f t="shared" si="45"/>
        <v>0</v>
      </c>
      <c r="AA173" s="172">
        <f t="shared" si="32"/>
        <v>0</v>
      </c>
      <c r="AB173" s="172">
        <f t="shared" si="32"/>
        <v>0</v>
      </c>
      <c r="AC173" s="172">
        <f t="shared" si="33"/>
        <v>0</v>
      </c>
      <c r="AE173" s="172">
        <f t="shared" si="46"/>
        <v>0</v>
      </c>
      <c r="AF173" s="172">
        <f t="shared" si="46"/>
        <v>0</v>
      </c>
      <c r="AG173" s="172">
        <f t="shared" si="34"/>
        <v>0</v>
      </c>
      <c r="AH173" s="172">
        <f t="shared" si="34"/>
        <v>0</v>
      </c>
      <c r="AI173" s="172">
        <f t="shared" si="35"/>
        <v>0</v>
      </c>
      <c r="AK173" s="172">
        <f t="shared" si="36"/>
        <v>0</v>
      </c>
      <c r="AL173" s="172">
        <f t="shared" si="36"/>
        <v>0</v>
      </c>
      <c r="AM173" s="172">
        <f t="shared" si="22"/>
        <v>0</v>
      </c>
      <c r="AN173" s="172">
        <f t="shared" si="22"/>
        <v>0</v>
      </c>
      <c r="AO173" s="172">
        <f t="shared" si="37"/>
        <v>0</v>
      </c>
    </row>
    <row r="174" spans="1:41">
      <c r="A174" s="573">
        <v>2054</v>
      </c>
      <c r="B174" s="171">
        <v>56913.827479443535</v>
      </c>
      <c r="C174" s="172">
        <f t="shared" si="23"/>
        <v>20773547.029996891</v>
      </c>
      <c r="D174" s="172">
        <f t="shared" si="24"/>
        <v>3531502.9950994719</v>
      </c>
      <c r="E174" s="172">
        <f t="shared" si="25"/>
        <v>17242044.034897417</v>
      </c>
      <c r="G174" s="573">
        <v>2054</v>
      </c>
      <c r="H174" s="171">
        <v>108819.12010732171</v>
      </c>
      <c r="I174" s="172">
        <f t="shared" si="26"/>
        <v>39718978.839172423</v>
      </c>
      <c r="J174" s="172">
        <f t="shared" si="27"/>
        <v>6752226.4026593128</v>
      </c>
      <c r="K174" s="172">
        <f t="shared" si="28"/>
        <v>32966752.436513111</v>
      </c>
      <c r="M174" s="573">
        <v>2054</v>
      </c>
      <c r="N174" s="176">
        <f t="shared" si="29"/>
        <v>165732.94758676525</v>
      </c>
      <c r="O174" s="172">
        <f t="shared" si="29"/>
        <v>60492525.86916931</v>
      </c>
      <c r="P174" s="172">
        <f t="shared" si="29"/>
        <v>10283729.397758786</v>
      </c>
      <c r="Q174" s="172">
        <f t="shared" si="29"/>
        <v>50208796.471410528</v>
      </c>
      <c r="S174" s="172">
        <f t="shared" si="44"/>
        <v>0</v>
      </c>
      <c r="T174" s="172">
        <f t="shared" si="44"/>
        <v>0</v>
      </c>
      <c r="U174" s="172">
        <f t="shared" si="30"/>
        <v>0</v>
      </c>
      <c r="V174" s="172">
        <f t="shared" si="30"/>
        <v>0</v>
      </c>
      <c r="W174" s="172">
        <f t="shared" si="31"/>
        <v>0</v>
      </c>
      <c r="Y174" s="172">
        <f t="shared" si="45"/>
        <v>0</v>
      </c>
      <c r="Z174" s="172">
        <f t="shared" si="45"/>
        <v>0</v>
      </c>
      <c r="AA174" s="172">
        <f t="shared" si="32"/>
        <v>0</v>
      </c>
      <c r="AB174" s="172">
        <f t="shared" si="32"/>
        <v>0</v>
      </c>
      <c r="AC174" s="172">
        <f t="shared" si="33"/>
        <v>0</v>
      </c>
      <c r="AE174" s="172">
        <f t="shared" si="46"/>
        <v>0</v>
      </c>
      <c r="AF174" s="172">
        <f t="shared" si="46"/>
        <v>0</v>
      </c>
      <c r="AG174" s="172">
        <f t="shared" si="34"/>
        <v>0</v>
      </c>
      <c r="AH174" s="172">
        <f t="shared" si="34"/>
        <v>0</v>
      </c>
      <c r="AI174" s="172">
        <f t="shared" si="35"/>
        <v>0</v>
      </c>
      <c r="AK174" s="172">
        <f t="shared" si="36"/>
        <v>0</v>
      </c>
      <c r="AL174" s="172">
        <f t="shared" si="36"/>
        <v>0</v>
      </c>
      <c r="AM174" s="172">
        <f t="shared" si="22"/>
        <v>0</v>
      </c>
      <c r="AN174" s="172">
        <f t="shared" si="22"/>
        <v>0</v>
      </c>
      <c r="AO174" s="172">
        <f t="shared" si="37"/>
        <v>0</v>
      </c>
    </row>
    <row r="175" spans="1:41">
      <c r="A175" s="573">
        <v>2055</v>
      </c>
      <c r="B175" s="171">
        <v>57429.101903271177</v>
      </c>
      <c r="C175" s="172">
        <f t="shared" si="23"/>
        <v>20961622.194693979</v>
      </c>
      <c r="D175" s="172">
        <f t="shared" si="24"/>
        <v>3563475.7730979766</v>
      </c>
      <c r="E175" s="172">
        <f t="shared" si="25"/>
        <v>17398146.421596002</v>
      </c>
      <c r="G175" s="573">
        <v>2055</v>
      </c>
      <c r="H175" s="171">
        <v>109814.1742836988</v>
      </c>
      <c r="I175" s="172">
        <f t="shared" si="26"/>
        <v>40082173.613550059</v>
      </c>
      <c r="J175" s="172">
        <f t="shared" si="27"/>
        <v>6813969.514303511</v>
      </c>
      <c r="K175" s="172">
        <f t="shared" si="28"/>
        <v>33268204.099246547</v>
      </c>
      <c r="M175" s="573">
        <v>2055</v>
      </c>
      <c r="N175" s="176">
        <f>B175+H175</f>
        <v>167243.27618696998</v>
      </c>
      <c r="O175" s="172">
        <f>C175+I175</f>
        <v>61043795.808244035</v>
      </c>
      <c r="P175" s="172">
        <f>D175+J175</f>
        <v>10377445.287401488</v>
      </c>
      <c r="Q175" s="172">
        <f>E175+K175</f>
        <v>50666350.520842552</v>
      </c>
      <c r="S175" s="172">
        <f t="shared" si="44"/>
        <v>0</v>
      </c>
      <c r="T175" s="172">
        <f t="shared" si="44"/>
        <v>0</v>
      </c>
      <c r="U175" s="172">
        <f>(S175/60)*365</f>
        <v>0</v>
      </c>
      <c r="V175" s="172">
        <f>(T175/60)*365</f>
        <v>0</v>
      </c>
      <c r="W175" s="172">
        <f t="shared" si="31"/>
        <v>0</v>
      </c>
      <c r="Y175" s="172">
        <f t="shared" si="45"/>
        <v>0</v>
      </c>
      <c r="Z175" s="172">
        <f t="shared" si="45"/>
        <v>0</v>
      </c>
      <c r="AA175" s="172">
        <f>(Y175/60)*365</f>
        <v>0</v>
      </c>
      <c r="AB175" s="172">
        <f>(Z175/60)*365</f>
        <v>0</v>
      </c>
      <c r="AC175" s="172">
        <f t="shared" si="33"/>
        <v>0</v>
      </c>
      <c r="AE175" s="172">
        <f t="shared" si="46"/>
        <v>0</v>
      </c>
      <c r="AF175" s="172">
        <f t="shared" si="46"/>
        <v>0</v>
      </c>
      <c r="AG175" s="172">
        <f>(AE175/60)*365</f>
        <v>0</v>
      </c>
      <c r="AH175" s="172">
        <f>(AF175/60)*365</f>
        <v>0</v>
      </c>
      <c r="AI175" s="172">
        <f t="shared" si="35"/>
        <v>0</v>
      </c>
      <c r="AK175" s="172">
        <f>S175+Y175+AE175</f>
        <v>0</v>
      </c>
      <c r="AL175" s="172">
        <f>T175+Z175+AF175</f>
        <v>0</v>
      </c>
      <c r="AM175" s="172">
        <f>U175+AA175+AG175</f>
        <v>0</v>
      </c>
      <c r="AN175" s="172">
        <f>V175+AB175+AH175</f>
        <v>0</v>
      </c>
      <c r="AO175" s="172">
        <f t="shared" si="37"/>
        <v>0</v>
      </c>
    </row>
    <row r="178" spans="1:20" s="167" customFormat="1">
      <c r="M178" s="168"/>
    </row>
    <row r="179" spans="1:20">
      <c r="A179" s="660" t="s">
        <v>182</v>
      </c>
      <c r="B179" s="660"/>
    </row>
    <row r="180" spans="1:20">
      <c r="A180" s="660"/>
      <c r="B180" s="660"/>
    </row>
    <row r="181" spans="1:20">
      <c r="M181"/>
    </row>
    <row r="182" spans="1:20">
      <c r="G182" s="661" t="s">
        <v>183</v>
      </c>
      <c r="H182" s="662"/>
      <c r="I182" s="663"/>
      <c r="M182"/>
    </row>
    <row r="183" spans="1:20">
      <c r="A183" s="664" t="s">
        <v>184</v>
      </c>
      <c r="B183" s="665"/>
      <c r="C183" s="665"/>
      <c r="D183" s="665"/>
      <c r="E183" s="666"/>
      <c r="G183" s="641" t="s">
        <v>165</v>
      </c>
      <c r="H183" s="667"/>
      <c r="I183" s="642"/>
      <c r="K183" s="670" t="s">
        <v>185</v>
      </c>
      <c r="L183" s="670"/>
      <c r="M183" s="670"/>
      <c r="N183" s="670"/>
      <c r="P183" s="5"/>
      <c r="Q183" s="670" t="s">
        <v>186</v>
      </c>
      <c r="R183" s="670"/>
      <c r="S183" s="670"/>
      <c r="T183" s="670"/>
    </row>
    <row r="184" spans="1:20">
      <c r="A184" s="573" t="s">
        <v>76</v>
      </c>
      <c r="B184" s="573" t="s">
        <v>166</v>
      </c>
      <c r="C184" s="569" t="s">
        <v>167</v>
      </c>
      <c r="D184" s="569" t="s">
        <v>168</v>
      </c>
      <c r="E184" s="569" t="s">
        <v>169</v>
      </c>
      <c r="G184" s="569" t="s">
        <v>170</v>
      </c>
      <c r="H184" s="569" t="s">
        <v>171</v>
      </c>
      <c r="I184" s="569" t="s">
        <v>172</v>
      </c>
      <c r="K184" s="573" t="s">
        <v>76</v>
      </c>
      <c r="L184" s="573" t="s">
        <v>170</v>
      </c>
      <c r="M184" s="569" t="s">
        <v>171</v>
      </c>
      <c r="N184" s="569" t="s">
        <v>51</v>
      </c>
      <c r="O184" s="1"/>
      <c r="P184" s="4"/>
      <c r="Q184" s="573" t="s">
        <v>76</v>
      </c>
      <c r="R184" s="573" t="s">
        <v>170</v>
      </c>
      <c r="S184" s="569" t="s">
        <v>171</v>
      </c>
      <c r="T184" s="569" t="s">
        <v>51</v>
      </c>
    </row>
    <row r="185" spans="1:20">
      <c r="A185" s="178">
        <v>2017</v>
      </c>
      <c r="B185" s="179">
        <f t="shared" ref="B185:E200" si="47">B88-N137</f>
        <v>5462.606902272295</v>
      </c>
      <c r="C185" s="179">
        <f t="shared" si="47"/>
        <v>1993851.5193293914</v>
      </c>
      <c r="D185" s="179">
        <f t="shared" si="47"/>
        <v>338954.7582859965</v>
      </c>
      <c r="E185" s="179">
        <f t="shared" si="47"/>
        <v>1654896.7610433921</v>
      </c>
      <c r="G185" s="180">
        <f t="shared" ref="G185:I223" si="48">O88-AM137</f>
        <v>256594.46702875168</v>
      </c>
      <c r="H185" s="180">
        <f t="shared" si="48"/>
        <v>34268.117027333319</v>
      </c>
      <c r="I185" s="180">
        <f t="shared" si="48"/>
        <v>290862.58405608498</v>
      </c>
      <c r="K185" s="178">
        <v>2017</v>
      </c>
      <c r="L185" s="181">
        <f t="shared" ref="L185:L223" si="49">E185*$A$15</f>
        <v>678507.67202779069</v>
      </c>
      <c r="M185" s="181">
        <f t="shared" ref="M185:M223" si="50">D185*$A$14</f>
        <v>325396.56795455661</v>
      </c>
      <c r="N185" s="181">
        <f>L185+M185</f>
        <v>1003904.2399823472</v>
      </c>
      <c r="P185" s="4"/>
      <c r="Q185" s="178">
        <v>2017</v>
      </c>
      <c r="R185" s="181">
        <f>G185*$A$12</f>
        <v>3900235.8988370253</v>
      </c>
      <c r="S185" s="181">
        <f>H185*$A$11</f>
        <v>1010909.4523063329</v>
      </c>
      <c r="T185" s="181">
        <f>R185+S185</f>
        <v>4911145.3511433583</v>
      </c>
    </row>
    <row r="186" spans="1:20">
      <c r="A186" s="178">
        <v>2018</v>
      </c>
      <c r="B186" s="179">
        <f t="shared" si="47"/>
        <v>5548.5971815406228</v>
      </c>
      <c r="C186" s="179">
        <f t="shared" si="47"/>
        <v>2025237.9712623358</v>
      </c>
      <c r="D186" s="179">
        <f t="shared" si="47"/>
        <v>344290.45511459745</v>
      </c>
      <c r="E186" s="179">
        <f t="shared" si="47"/>
        <v>1680947.5161477365</v>
      </c>
      <c r="G186" s="180">
        <f t="shared" si="48"/>
        <v>264610.65045817901</v>
      </c>
      <c r="H186" s="180">
        <f t="shared" si="48"/>
        <v>34949.485907021706</v>
      </c>
      <c r="I186" s="180">
        <f t="shared" si="48"/>
        <v>299560.13636520074</v>
      </c>
      <c r="K186" s="178">
        <v>2018</v>
      </c>
      <c r="L186" s="181">
        <f t="shared" si="49"/>
        <v>689188.48162057193</v>
      </c>
      <c r="M186" s="181">
        <f t="shared" si="50"/>
        <v>330518.83691001352</v>
      </c>
      <c r="N186" s="181">
        <f t="shared" ref="N186:N223" si="51">L186+M186</f>
        <v>1019707.3185305854</v>
      </c>
      <c r="P186" s="4"/>
      <c r="Q186" s="178">
        <v>2018</v>
      </c>
      <c r="R186" s="181">
        <f t="shared" ref="R186:R223" si="52">G186*$A$12</f>
        <v>4022081.8869643207</v>
      </c>
      <c r="S186" s="181">
        <f t="shared" ref="S186:S223" si="53">H186*$A$11</f>
        <v>1031009.8342571403</v>
      </c>
      <c r="T186" s="181">
        <f t="shared" ref="T186:T223" si="54">R186+S186</f>
        <v>5053091.721221461</v>
      </c>
    </row>
    <row r="187" spans="1:20">
      <c r="A187" s="178">
        <v>2019</v>
      </c>
      <c r="B187" s="179">
        <f t="shared" si="47"/>
        <v>5635.9320389343047</v>
      </c>
      <c r="C187" s="179">
        <f t="shared" si="47"/>
        <v>2057115.1942110211</v>
      </c>
      <c r="D187" s="179">
        <f t="shared" si="47"/>
        <v>349709.5830158731</v>
      </c>
      <c r="E187" s="179">
        <f t="shared" si="47"/>
        <v>1707405.611195147</v>
      </c>
      <c r="G187" s="180">
        <f t="shared" si="48"/>
        <v>273012.40655767277</v>
      </c>
      <c r="H187" s="180">
        <f t="shared" si="48"/>
        <v>35647.14383758331</v>
      </c>
      <c r="I187" s="180">
        <f t="shared" si="48"/>
        <v>308659.55039525608</v>
      </c>
      <c r="K187" s="178">
        <v>2019</v>
      </c>
      <c r="L187" s="181">
        <f t="shared" si="49"/>
        <v>700036.30059001024</v>
      </c>
      <c r="M187" s="181">
        <f t="shared" si="50"/>
        <v>335721.19969523815</v>
      </c>
      <c r="N187" s="181">
        <f t="shared" si="51"/>
        <v>1035757.5002852484</v>
      </c>
      <c r="P187" s="4"/>
      <c r="Q187" s="178">
        <v>2019</v>
      </c>
      <c r="R187" s="181">
        <f t="shared" si="52"/>
        <v>4149788.5796766258</v>
      </c>
      <c r="S187" s="181">
        <f t="shared" si="53"/>
        <v>1051590.7432087075</v>
      </c>
      <c r="T187" s="181">
        <f t="shared" si="54"/>
        <v>5201379.3228853336</v>
      </c>
    </row>
    <row r="188" spans="1:20">
      <c r="A188" s="178">
        <v>2020</v>
      </c>
      <c r="B188" s="179">
        <f t="shared" si="47"/>
        <v>5724.6323480721185</v>
      </c>
      <c r="C188" s="179">
        <f t="shared" si="47"/>
        <v>2089490.807046324</v>
      </c>
      <c r="D188" s="179">
        <f t="shared" si="47"/>
        <v>355213.43719787523</v>
      </c>
      <c r="E188" s="179">
        <f t="shared" si="47"/>
        <v>1734277.3698484451</v>
      </c>
      <c r="G188" s="180">
        <f t="shared" si="48"/>
        <v>281827.76839089941</v>
      </c>
      <c r="H188" s="180">
        <f t="shared" si="48"/>
        <v>36361.592817727484</v>
      </c>
      <c r="I188" s="180">
        <f t="shared" si="48"/>
        <v>318189.36120862688</v>
      </c>
      <c r="K188" s="178">
        <v>2020</v>
      </c>
      <c r="L188" s="181">
        <f t="shared" si="49"/>
        <v>711053.72163786239</v>
      </c>
      <c r="M188" s="181">
        <f t="shared" si="50"/>
        <v>341004.89970996021</v>
      </c>
      <c r="N188" s="181">
        <f t="shared" si="51"/>
        <v>1052058.6213478227</v>
      </c>
      <c r="P188" s="4"/>
      <c r="Q188" s="178">
        <v>2020</v>
      </c>
      <c r="R188" s="181">
        <f t="shared" si="52"/>
        <v>4283782.0795416711</v>
      </c>
      <c r="S188" s="181">
        <f t="shared" si="53"/>
        <v>1072666.9881229608</v>
      </c>
      <c r="T188" s="181">
        <f t="shared" si="54"/>
        <v>5356449.0676646316</v>
      </c>
    </row>
    <row r="189" spans="1:20">
      <c r="A189" s="178">
        <v>2021</v>
      </c>
      <c r="B189" s="179">
        <f t="shared" si="47"/>
        <v>5814.7193040245184</v>
      </c>
      <c r="C189" s="179">
        <f t="shared" si="47"/>
        <v>2122372.5459689498</v>
      </c>
      <c r="D189" s="179">
        <f t="shared" si="47"/>
        <v>360803.33281472046</v>
      </c>
      <c r="E189" s="179">
        <f t="shared" si="47"/>
        <v>1761569.2131542228</v>
      </c>
      <c r="G189" s="180">
        <f t="shared" si="48"/>
        <v>291087.61467362219</v>
      </c>
      <c r="H189" s="180">
        <f t="shared" si="48"/>
        <v>37093.355151981261</v>
      </c>
      <c r="I189" s="180">
        <f t="shared" si="48"/>
        <v>328180.96982560342</v>
      </c>
      <c r="K189" s="178">
        <v>2021</v>
      </c>
      <c r="L189" s="181">
        <f t="shared" si="49"/>
        <v>722243.37739323126</v>
      </c>
      <c r="M189" s="181">
        <f t="shared" si="50"/>
        <v>346371.19950213161</v>
      </c>
      <c r="N189" s="181">
        <f t="shared" si="51"/>
        <v>1068614.5768953629</v>
      </c>
      <c r="P189" s="4"/>
      <c r="Q189" s="178">
        <v>2021</v>
      </c>
      <c r="R189" s="181">
        <f t="shared" si="52"/>
        <v>4424531.7430390567</v>
      </c>
      <c r="S189" s="181">
        <f t="shared" si="53"/>
        <v>1094253.9769834471</v>
      </c>
      <c r="T189" s="181">
        <f t="shared" si="54"/>
        <v>5518785.7200225033</v>
      </c>
    </row>
    <row r="190" spans="1:20">
      <c r="A190" s="178">
        <v>2022</v>
      </c>
      <c r="B190" s="179">
        <f t="shared" si="47"/>
        <v>5906.2144282181252</v>
      </c>
      <c r="C190" s="179">
        <f t="shared" si="47"/>
        <v>2155768.2662996128</v>
      </c>
      <c r="D190" s="179">
        <f t="shared" si="47"/>
        <v>366480.60527093336</v>
      </c>
      <c r="E190" s="179">
        <f t="shared" si="47"/>
        <v>1789287.6610286757</v>
      </c>
      <c r="G190" s="180">
        <f t="shared" si="48"/>
        <v>300826.04732195375</v>
      </c>
      <c r="H190" s="180">
        <f t="shared" si="48"/>
        <v>37842.974495927898</v>
      </c>
      <c r="I190" s="180">
        <f t="shared" si="48"/>
        <v>338669.02181788167</v>
      </c>
      <c r="K190" s="178">
        <v>2022</v>
      </c>
      <c r="L190" s="181">
        <f t="shared" si="49"/>
        <v>733607.94102175697</v>
      </c>
      <c r="M190" s="181">
        <f t="shared" si="50"/>
        <v>351821.38106009603</v>
      </c>
      <c r="N190" s="181">
        <f t="shared" si="51"/>
        <v>1085429.3220818529</v>
      </c>
      <c r="P190" s="4"/>
      <c r="Q190" s="178">
        <v>2022</v>
      </c>
      <c r="R190" s="181">
        <f t="shared" si="52"/>
        <v>4572555.919293697</v>
      </c>
      <c r="S190" s="181">
        <f t="shared" si="53"/>
        <v>1116367.747629873</v>
      </c>
      <c r="T190" s="181">
        <f t="shared" si="54"/>
        <v>5688923.6669235695</v>
      </c>
    </row>
    <row r="191" spans="1:20">
      <c r="A191" s="178">
        <v>2023</v>
      </c>
      <c r="B191" s="179">
        <f t="shared" si="47"/>
        <v>5999.139573413835</v>
      </c>
      <c r="C191" s="179">
        <f t="shared" si="47"/>
        <v>2189685.9442960471</v>
      </c>
      <c r="D191" s="179">
        <f t="shared" si="47"/>
        <v>372246.61053032801</v>
      </c>
      <c r="E191" s="179">
        <f t="shared" si="47"/>
        <v>1817439.3337657228</v>
      </c>
      <c r="G191" s="180">
        <f t="shared" si="48"/>
        <v>311080.83163978986</v>
      </c>
      <c r="H191" s="180">
        <f t="shared" si="48"/>
        <v>38611.016967213014</v>
      </c>
      <c r="I191" s="180">
        <f t="shared" si="48"/>
        <v>349691.84860700287</v>
      </c>
      <c r="K191" s="178">
        <v>2023</v>
      </c>
      <c r="L191" s="181">
        <f t="shared" si="49"/>
        <v>745150.12684394629</v>
      </c>
      <c r="M191" s="181">
        <f t="shared" si="50"/>
        <v>357356.74610911484</v>
      </c>
      <c r="N191" s="181">
        <f t="shared" si="51"/>
        <v>1102506.872953061</v>
      </c>
      <c r="P191" s="4"/>
      <c r="Q191" s="178">
        <v>2023</v>
      </c>
      <c r="R191" s="181">
        <f t="shared" si="52"/>
        <v>4728428.6409248058</v>
      </c>
      <c r="S191" s="181">
        <f t="shared" si="53"/>
        <v>1139025.000532784</v>
      </c>
      <c r="T191" s="181">
        <f t="shared" si="54"/>
        <v>5867453.6414575893</v>
      </c>
    </row>
    <row r="192" spans="1:20">
      <c r="A192" s="178">
        <v>2024</v>
      </c>
      <c r="B192" s="179">
        <f t="shared" si="47"/>
        <v>6093.5169287607423</v>
      </c>
      <c r="C192" s="179">
        <f t="shared" si="47"/>
        <v>2224133.6789976731</v>
      </c>
      <c r="D192" s="179">
        <f t="shared" si="47"/>
        <v>378102.72542960476</v>
      </c>
      <c r="E192" s="179">
        <f t="shared" si="47"/>
        <v>1846030.9535680637</v>
      </c>
      <c r="G192" s="180">
        <f t="shared" si="48"/>
        <v>321893.91174812277</v>
      </c>
      <c r="H192" s="180">
        <f t="shared" si="48"/>
        <v>39398.072327226793</v>
      </c>
      <c r="I192" s="180">
        <f t="shared" si="48"/>
        <v>361291.98407534958</v>
      </c>
      <c r="K192" s="178">
        <v>2024</v>
      </c>
      <c r="L192" s="181">
        <f t="shared" si="49"/>
        <v>756872.69096290611</v>
      </c>
      <c r="M192" s="181">
        <f t="shared" si="50"/>
        <v>362978.61641242058</v>
      </c>
      <c r="N192" s="181">
        <f t="shared" si="51"/>
        <v>1119851.3073753268</v>
      </c>
      <c r="P192" s="4"/>
      <c r="Q192" s="178">
        <v>2024</v>
      </c>
      <c r="R192" s="181">
        <f t="shared" si="52"/>
        <v>4892787.4585714657</v>
      </c>
      <c r="S192" s="181">
        <f t="shared" si="53"/>
        <v>1162243.1336531905</v>
      </c>
      <c r="T192" s="181">
        <f t="shared" si="54"/>
        <v>6055030.5922246557</v>
      </c>
    </row>
    <row r="193" spans="1:20">
      <c r="A193" s="573">
        <v>2025</v>
      </c>
      <c r="B193" s="176">
        <f t="shared" si="47"/>
        <v>6189.3690249252977</v>
      </c>
      <c r="C193" s="176">
        <f t="shared" si="47"/>
        <v>2259119.6940977424</v>
      </c>
      <c r="D193" s="176">
        <f t="shared" si="47"/>
        <v>384050.3479966158</v>
      </c>
      <c r="E193" s="176">
        <f t="shared" si="47"/>
        <v>1875069.3461011276</v>
      </c>
      <c r="G193" s="172">
        <f t="shared" si="48"/>
        <v>333312.01686556713</v>
      </c>
      <c r="H193" s="172">
        <f t="shared" si="48"/>
        <v>40204.755238795435</v>
      </c>
      <c r="I193" s="172">
        <f t="shared" si="48"/>
        <v>373516.77210436255</v>
      </c>
      <c r="K193" s="573">
        <v>2025</v>
      </c>
      <c r="L193" s="182">
        <f t="shared" si="49"/>
        <v>768778.43190146226</v>
      </c>
      <c r="M193" s="182">
        <f t="shared" si="50"/>
        <v>368688.33407675114</v>
      </c>
      <c r="N193" s="182">
        <f t="shared" si="51"/>
        <v>1137466.7659782134</v>
      </c>
      <c r="P193" s="4"/>
      <c r="Q193" s="573">
        <v>2025</v>
      </c>
      <c r="R193" s="182">
        <f t="shared" si="52"/>
        <v>5066342.6563566197</v>
      </c>
      <c r="S193" s="182">
        <f t="shared" si="53"/>
        <v>1186040.2795444652</v>
      </c>
      <c r="T193" s="182">
        <f t="shared" si="54"/>
        <v>6252382.9359010849</v>
      </c>
    </row>
    <row r="194" spans="1:20">
      <c r="A194" s="573">
        <v>2026</v>
      </c>
      <c r="B194" s="176">
        <f t="shared" si="47"/>
        <v>6286.7187392987835</v>
      </c>
      <c r="C194" s="176">
        <f t="shared" si="47"/>
        <v>2294652.3398440555</v>
      </c>
      <c r="D194" s="176">
        <f t="shared" si="47"/>
        <v>390090.89777348936</v>
      </c>
      <c r="E194" s="176">
        <f t="shared" si="47"/>
        <v>1904561.4420705661</v>
      </c>
      <c r="G194" s="172">
        <f t="shared" si="48"/>
        <v>345387.37789236399</v>
      </c>
      <c r="H194" s="172">
        <f t="shared" si="48"/>
        <v>41031.706605683081</v>
      </c>
      <c r="I194" s="172">
        <f t="shared" si="48"/>
        <v>386419.08449804707</v>
      </c>
      <c r="K194" s="573">
        <v>2026</v>
      </c>
      <c r="L194" s="182">
        <f t="shared" si="49"/>
        <v>780870.19124893204</v>
      </c>
      <c r="M194" s="182">
        <f t="shared" si="50"/>
        <v>374487.26186254976</v>
      </c>
      <c r="N194" s="182">
        <f t="shared" si="51"/>
        <v>1155357.4531114819</v>
      </c>
      <c r="P194" s="4"/>
      <c r="Q194" s="573">
        <v>2026</v>
      </c>
      <c r="R194" s="182">
        <f t="shared" si="52"/>
        <v>5249888.1439639321</v>
      </c>
      <c r="S194" s="182">
        <f t="shared" si="53"/>
        <v>1210435.3448676509</v>
      </c>
      <c r="T194" s="182">
        <f t="shared" si="54"/>
        <v>6460323.4888315834</v>
      </c>
    </row>
    <row r="195" spans="1:20">
      <c r="A195" s="573">
        <v>2027</v>
      </c>
      <c r="B195" s="176">
        <f t="shared" si="47"/>
        <v>6385.5893012826127</v>
      </c>
      <c r="C195" s="176">
        <f t="shared" si="47"/>
        <v>2330740.094968155</v>
      </c>
      <c r="D195" s="176">
        <f t="shared" si="47"/>
        <v>396225.81614458654</v>
      </c>
      <c r="E195" s="176">
        <f t="shared" si="47"/>
        <v>1934514.2788235694</v>
      </c>
      <c r="G195" s="172">
        <f t="shared" si="48"/>
        <v>358178.57869707223</v>
      </c>
      <c r="H195" s="172">
        <f t="shared" si="48"/>
        <v>41879.595000219349</v>
      </c>
      <c r="I195" s="172">
        <f t="shared" si="48"/>
        <v>400058.17369729158</v>
      </c>
      <c r="K195" s="573">
        <v>2027</v>
      </c>
      <c r="L195" s="182">
        <f t="shared" si="49"/>
        <v>793150.85431766347</v>
      </c>
      <c r="M195" s="182">
        <f t="shared" si="50"/>
        <v>380376.78349880304</v>
      </c>
      <c r="N195" s="182">
        <f t="shared" si="51"/>
        <v>1173527.6378164664</v>
      </c>
      <c r="P195" s="4"/>
      <c r="Q195" s="573">
        <v>2027</v>
      </c>
      <c r="R195" s="182">
        <f t="shared" si="52"/>
        <v>5444314.3961954974</v>
      </c>
      <c r="S195" s="182">
        <f t="shared" si="53"/>
        <v>1235448.0525064708</v>
      </c>
      <c r="T195" s="182">
        <f t="shared" si="54"/>
        <v>6679762.4487019684</v>
      </c>
    </row>
    <row r="196" spans="1:20">
      <c r="A196" s="573">
        <v>2028</v>
      </c>
      <c r="B196" s="176">
        <f t="shared" si="47"/>
        <v>6486.0042976535042</v>
      </c>
      <c r="C196" s="176">
        <f t="shared" si="47"/>
        <v>2367391.5686435252</v>
      </c>
      <c r="D196" s="176">
        <f t="shared" si="47"/>
        <v>402456.56666939892</v>
      </c>
      <c r="E196" s="176">
        <f t="shared" si="47"/>
        <v>1964935.0019741282</v>
      </c>
      <c r="G196" s="172">
        <f t="shared" si="48"/>
        <v>371751.57292146992</v>
      </c>
      <c r="H196" s="172">
        <f t="shared" si="48"/>
        <v>42749.118185934203</v>
      </c>
      <c r="I196" s="172">
        <f t="shared" si="48"/>
        <v>414500.69110740413</v>
      </c>
      <c r="K196" s="573">
        <v>2028</v>
      </c>
      <c r="L196" s="182">
        <f t="shared" si="49"/>
        <v>805623.35080939252</v>
      </c>
      <c r="M196" s="182">
        <f t="shared" si="50"/>
        <v>386358.30400262296</v>
      </c>
      <c r="N196" s="182">
        <f t="shared" si="51"/>
        <v>1191981.6548120156</v>
      </c>
      <c r="P196" s="4"/>
      <c r="Q196" s="573">
        <v>2028</v>
      </c>
      <c r="R196" s="182">
        <f t="shared" si="52"/>
        <v>5650623.9084063424</v>
      </c>
      <c r="S196" s="182">
        <f t="shared" si="53"/>
        <v>1261098.9864850589</v>
      </c>
      <c r="T196" s="182">
        <f t="shared" si="54"/>
        <v>6911722.8948914018</v>
      </c>
    </row>
    <row r="197" spans="1:20">
      <c r="A197" s="573">
        <v>2029</v>
      </c>
      <c r="B197" s="176">
        <f t="shared" si="47"/>
        <v>6587.9876780096965</v>
      </c>
      <c r="C197" s="176">
        <f t="shared" si="47"/>
        <v>2404615.5024735406</v>
      </c>
      <c r="D197" s="176">
        <f t="shared" si="47"/>
        <v>408784.63542050123</v>
      </c>
      <c r="E197" s="176">
        <f t="shared" si="47"/>
        <v>1995830.8670530468</v>
      </c>
      <c r="G197" s="172">
        <f t="shared" si="48"/>
        <v>386180.90550809627</v>
      </c>
      <c r="H197" s="172">
        <f t="shared" si="48"/>
        <v>43641.004742706289</v>
      </c>
      <c r="I197" s="172">
        <f t="shared" si="48"/>
        <v>429821.91025080258</v>
      </c>
      <c r="K197" s="573">
        <v>2029</v>
      </c>
      <c r="L197" s="182">
        <f t="shared" si="49"/>
        <v>818290.65549174917</v>
      </c>
      <c r="M197" s="182">
        <f t="shared" si="50"/>
        <v>392433.25000368117</v>
      </c>
      <c r="N197" s="182">
        <f t="shared" si="51"/>
        <v>1210723.9054954303</v>
      </c>
      <c r="P197" s="4"/>
      <c r="Q197" s="573">
        <v>2029</v>
      </c>
      <c r="R197" s="182">
        <f t="shared" si="52"/>
        <v>5869949.7637230633</v>
      </c>
      <c r="S197" s="182">
        <f t="shared" si="53"/>
        <v>1287409.6399098355</v>
      </c>
      <c r="T197" s="182">
        <f t="shared" si="54"/>
        <v>7157359.4036328988</v>
      </c>
    </row>
    <row r="198" spans="1:20">
      <c r="A198" s="573">
        <v>2030</v>
      </c>
      <c r="B198" s="176">
        <f t="shared" si="47"/>
        <v>6691.5637602990028</v>
      </c>
      <c r="C198" s="176">
        <f t="shared" si="47"/>
        <v>2442420.7725091353</v>
      </c>
      <c r="D198" s="176">
        <f t="shared" si="47"/>
        <v>415211.53132655285</v>
      </c>
      <c r="E198" s="176">
        <f t="shared" si="47"/>
        <v>2027209.241182588</v>
      </c>
      <c r="G198" s="172">
        <f t="shared" si="48"/>
        <v>401551.18921640178</v>
      </c>
      <c r="H198" s="172">
        <f t="shared" si="48"/>
        <v>44556.015802620372</v>
      </c>
      <c r="I198" s="172">
        <f t="shared" si="48"/>
        <v>446107.20501902216</v>
      </c>
      <c r="K198" s="573">
        <v>2030</v>
      </c>
      <c r="L198" s="182">
        <f t="shared" si="49"/>
        <v>831155.78888486105</v>
      </c>
      <c r="M198" s="182">
        <f t="shared" si="50"/>
        <v>398603.07007349073</v>
      </c>
      <c r="N198" s="182">
        <f t="shared" si="51"/>
        <v>1229758.8589583519</v>
      </c>
      <c r="P198" s="4"/>
      <c r="Q198" s="573">
        <v>2030</v>
      </c>
      <c r="R198" s="182">
        <f t="shared" si="52"/>
        <v>6103578.0760893067</v>
      </c>
      <c r="S198" s="182">
        <f t="shared" si="53"/>
        <v>1314402.466177301</v>
      </c>
      <c r="T198" s="182">
        <f t="shared" si="54"/>
        <v>7417980.5422666073</v>
      </c>
    </row>
    <row r="199" spans="1:20">
      <c r="A199" s="573">
        <v>2031</v>
      </c>
      <c r="B199" s="176">
        <f t="shared" si="47"/>
        <v>6796.757236430014</v>
      </c>
      <c r="C199" s="176">
        <f t="shared" si="47"/>
        <v>2480816.391296953</v>
      </c>
      <c r="D199" s="176">
        <f t="shared" si="47"/>
        <v>421738.78652048204</v>
      </c>
      <c r="E199" s="176">
        <f t="shared" si="47"/>
        <v>2059077.6047764719</v>
      </c>
      <c r="G199" s="172">
        <f t="shared" si="48"/>
        <v>417958.90111154347</v>
      </c>
      <c r="H199" s="172">
        <f t="shared" si="48"/>
        <v>45494.94690549079</v>
      </c>
      <c r="I199" s="172">
        <f t="shared" si="48"/>
        <v>463453.84801703424</v>
      </c>
      <c r="K199" s="573">
        <v>2031</v>
      </c>
      <c r="L199" s="182">
        <f t="shared" si="49"/>
        <v>844221.81795835344</v>
      </c>
      <c r="M199" s="182">
        <f t="shared" si="50"/>
        <v>404869.23505966272</v>
      </c>
      <c r="N199" s="182">
        <f t="shared" si="51"/>
        <v>1249091.0530180163</v>
      </c>
      <c r="P199" s="4"/>
      <c r="Q199" s="573">
        <v>2031</v>
      </c>
      <c r="R199" s="182">
        <f t="shared" si="52"/>
        <v>6352975.2968954602</v>
      </c>
      <c r="S199" s="182">
        <f t="shared" si="53"/>
        <v>1342100.9337119784</v>
      </c>
      <c r="T199" s="182">
        <f t="shared" si="54"/>
        <v>7695076.2306074388</v>
      </c>
    </row>
    <row r="200" spans="1:20">
      <c r="A200" s="573">
        <v>2032</v>
      </c>
      <c r="B200" s="176">
        <f t="shared" si="47"/>
        <v>6903.5931779681123</v>
      </c>
      <c r="C200" s="176">
        <f t="shared" si="47"/>
        <v>2519811.5099583566</v>
      </c>
      <c r="D200" s="176">
        <f t="shared" si="47"/>
        <v>428367.95669292193</v>
      </c>
      <c r="E200" s="176">
        <f t="shared" si="47"/>
        <v>2091443.5532654375</v>
      </c>
      <c r="G200" s="172">
        <f t="shared" si="48"/>
        <v>435514.58378300036</v>
      </c>
      <c r="H200" s="172">
        <f t="shared" si="48"/>
        <v>46458.629983851184</v>
      </c>
      <c r="I200" s="172">
        <f t="shared" si="48"/>
        <v>481973.21376685152</v>
      </c>
      <c r="K200" s="573">
        <v>2032</v>
      </c>
      <c r="L200" s="182">
        <f t="shared" si="49"/>
        <v>857491.85683882935</v>
      </c>
      <c r="M200" s="182">
        <f t="shared" si="50"/>
        <v>411233.23842520505</v>
      </c>
      <c r="N200" s="182">
        <f t="shared" si="51"/>
        <v>1268725.0952640343</v>
      </c>
      <c r="P200" s="4"/>
      <c r="Q200" s="573">
        <v>2032</v>
      </c>
      <c r="R200" s="182">
        <f t="shared" si="52"/>
        <v>6619821.6735016052</v>
      </c>
      <c r="S200" s="182">
        <f t="shared" si="53"/>
        <v>1370529.5845236098</v>
      </c>
      <c r="T200" s="182">
        <f t="shared" si="54"/>
        <v>7990351.258025215</v>
      </c>
    </row>
    <row r="201" spans="1:20">
      <c r="A201" s="573">
        <v>2033</v>
      </c>
      <c r="B201" s="176">
        <f t="shared" ref="B201:E216" si="55">B104-N153</f>
        <v>7012.0970419171354</v>
      </c>
      <c r="C201" s="176">
        <f t="shared" si="55"/>
        <v>2559415.4202997535</v>
      </c>
      <c r="D201" s="176">
        <f t="shared" si="55"/>
        <v>435100.62145095877</v>
      </c>
      <c r="E201" s="176">
        <f t="shared" si="55"/>
        <v>2124314.7988487929</v>
      </c>
      <c r="G201" s="172">
        <f t="shared" si="48"/>
        <v>454345.56288981001</v>
      </c>
      <c r="H201" s="172">
        <f t="shared" si="48"/>
        <v>47447.935488143405</v>
      </c>
      <c r="I201" s="172">
        <f t="shared" si="48"/>
        <v>501793.49837795342</v>
      </c>
      <c r="K201" s="573">
        <v>2033</v>
      </c>
      <c r="L201" s="182">
        <f t="shared" si="49"/>
        <v>870969.06752800499</v>
      </c>
      <c r="M201" s="182">
        <f t="shared" si="50"/>
        <v>417696.59659292042</v>
      </c>
      <c r="N201" s="182">
        <f t="shared" si="51"/>
        <v>1288665.6641209254</v>
      </c>
      <c r="P201" s="4"/>
      <c r="Q201" s="573">
        <v>2033</v>
      </c>
      <c r="R201" s="182">
        <f t="shared" si="52"/>
        <v>6906052.5559251122</v>
      </c>
      <c r="S201" s="182">
        <f t="shared" si="53"/>
        <v>1399714.0969002305</v>
      </c>
      <c r="T201" s="182">
        <f t="shared" si="54"/>
        <v>8305766.6528253425</v>
      </c>
    </row>
    <row r="202" spans="1:20">
      <c r="A202" s="573">
        <v>2034</v>
      </c>
      <c r="B202" s="176">
        <f t="shared" si="55"/>
        <v>7122.2946765878296</v>
      </c>
      <c r="C202" s="176">
        <f t="shared" si="55"/>
        <v>2599637.5569545478</v>
      </c>
      <c r="D202" s="176">
        <f t="shared" si="55"/>
        <v>441938.38468227349</v>
      </c>
      <c r="E202" s="176">
        <f t="shared" si="55"/>
        <v>2157699.1722722724</v>
      </c>
      <c r="G202" s="172">
        <f t="shared" si="48"/>
        <v>474599.32946537482</v>
      </c>
      <c r="H202" s="172">
        <f t="shared" si="48"/>
        <v>48463.774663874603</v>
      </c>
      <c r="I202" s="172">
        <f t="shared" si="48"/>
        <v>523063.1041292494</v>
      </c>
      <c r="K202" s="573">
        <v>2034</v>
      </c>
      <c r="L202" s="182">
        <f t="shared" si="49"/>
        <v>884656.66063163162</v>
      </c>
      <c r="M202" s="182">
        <f t="shared" si="50"/>
        <v>424260.84929498256</v>
      </c>
      <c r="N202" s="182">
        <f t="shared" si="51"/>
        <v>1308917.5099266141</v>
      </c>
      <c r="P202" s="4"/>
      <c r="Q202" s="573">
        <v>2034</v>
      </c>
      <c r="R202" s="182">
        <f t="shared" si="52"/>
        <v>7213909.807873697</v>
      </c>
      <c r="S202" s="182">
        <f t="shared" si="53"/>
        <v>1429681.3525843008</v>
      </c>
      <c r="T202" s="182">
        <f t="shared" si="54"/>
        <v>8643591.1604579985</v>
      </c>
    </row>
    <row r="203" spans="1:20">
      <c r="A203" s="573">
        <v>2035</v>
      </c>
      <c r="B203" s="176">
        <f t="shared" si="55"/>
        <v>7234.2123275550257</v>
      </c>
      <c r="C203" s="176">
        <f t="shared" si="55"/>
        <v>2640487.4995575771</v>
      </c>
      <c r="D203" s="176">
        <f t="shared" si="55"/>
        <v>448882.87492478825</v>
      </c>
      <c r="E203" s="176">
        <f t="shared" si="55"/>
        <v>2191604.6246327907</v>
      </c>
      <c r="G203" s="172">
        <f t="shared" si="48"/>
        <v>496447.78657401894</v>
      </c>
      <c r="H203" s="172">
        <f t="shared" si="48"/>
        <v>49507.101993659926</v>
      </c>
      <c r="I203" s="172">
        <f t="shared" si="48"/>
        <v>545954.88856767886</v>
      </c>
      <c r="K203" s="573">
        <v>2035</v>
      </c>
      <c r="L203" s="182">
        <f t="shared" si="49"/>
        <v>898557.89609944413</v>
      </c>
      <c r="M203" s="182">
        <f t="shared" si="50"/>
        <v>430927.55992779671</v>
      </c>
      <c r="N203" s="182">
        <f t="shared" si="51"/>
        <v>1329485.456027241</v>
      </c>
      <c r="P203" s="4"/>
      <c r="Q203" s="573">
        <v>2035</v>
      </c>
      <c r="R203" s="182">
        <f t="shared" si="52"/>
        <v>7546006.3559250878</v>
      </c>
      <c r="S203" s="182">
        <f t="shared" si="53"/>
        <v>1460459.5088129679</v>
      </c>
      <c r="T203" s="182">
        <f t="shared" si="54"/>
        <v>9006465.8647380564</v>
      </c>
    </row>
    <row r="204" spans="1:20">
      <c r="A204" s="573">
        <v>2036</v>
      </c>
      <c r="B204" s="176">
        <f t="shared" si="55"/>
        <v>7347.8766437041049</v>
      </c>
      <c r="C204" s="176">
        <f t="shared" si="55"/>
        <v>2681974.9749519974</v>
      </c>
      <c r="D204" s="176">
        <f t="shared" si="55"/>
        <v>455935.74574184045</v>
      </c>
      <c r="E204" s="176">
        <f t="shared" si="55"/>
        <v>2226039.2292101681</v>
      </c>
      <c r="G204" s="172">
        <f t="shared" si="48"/>
        <v>520092.63187671168</v>
      </c>
      <c r="H204" s="172">
        <f t="shared" si="48"/>
        <v>50578.91781834721</v>
      </c>
      <c r="I204" s="172">
        <f t="shared" si="48"/>
        <v>570671.54969505884</v>
      </c>
      <c r="K204" s="573">
        <v>2036</v>
      </c>
      <c r="L204" s="182">
        <f t="shared" si="49"/>
        <v>912676.08397616888</v>
      </c>
      <c r="M204" s="182">
        <f t="shared" si="50"/>
        <v>437698.31591216684</v>
      </c>
      <c r="N204" s="182">
        <f t="shared" si="51"/>
        <v>1350374.3998883357</v>
      </c>
      <c r="P204" s="4"/>
      <c r="Q204" s="573">
        <v>2036</v>
      </c>
      <c r="R204" s="182">
        <f t="shared" si="52"/>
        <v>7905408.0045260172</v>
      </c>
      <c r="S204" s="182">
        <f t="shared" si="53"/>
        <v>1492078.0756412428</v>
      </c>
      <c r="T204" s="182">
        <f t="shared" si="54"/>
        <v>9397486.08016726</v>
      </c>
    </row>
    <row r="205" spans="1:20">
      <c r="A205" s="573">
        <v>2037</v>
      </c>
      <c r="B205" s="176">
        <f t="shared" si="55"/>
        <v>7463.3146833688079</v>
      </c>
      <c r="C205" s="176">
        <f t="shared" si="55"/>
        <v>2724109.8594296202</v>
      </c>
      <c r="D205" s="176">
        <f t="shared" si="55"/>
        <v>463098.67610303499</v>
      </c>
      <c r="E205" s="176">
        <f t="shared" si="55"/>
        <v>2261011.1833265871</v>
      </c>
      <c r="G205" s="172">
        <f t="shared" si="48"/>
        <v>545772.25030313362</v>
      </c>
      <c r="H205" s="172">
        <f t="shared" si="48"/>
        <v>51680.271152842339</v>
      </c>
      <c r="I205" s="172">
        <f t="shared" si="48"/>
        <v>597452.52145597595</v>
      </c>
      <c r="K205" s="573">
        <v>2037</v>
      </c>
      <c r="L205" s="182">
        <f t="shared" si="49"/>
        <v>927014.58516390063</v>
      </c>
      <c r="M205" s="182">
        <f t="shared" si="50"/>
        <v>444574.7290589136</v>
      </c>
      <c r="N205" s="182">
        <f t="shared" si="51"/>
        <v>1371589.3142228143</v>
      </c>
      <c r="P205" s="4"/>
      <c r="Q205" s="573">
        <v>2037</v>
      </c>
      <c r="R205" s="182">
        <f t="shared" si="52"/>
        <v>8295738.2046076311</v>
      </c>
      <c r="S205" s="182">
        <f t="shared" si="53"/>
        <v>1524567.999008849</v>
      </c>
      <c r="T205" s="182">
        <f t="shared" si="54"/>
        <v>9820306.2036164794</v>
      </c>
    </row>
    <row r="206" spans="1:20">
      <c r="A206" s="573">
        <v>2038</v>
      </c>
      <c r="B206" s="176">
        <f t="shared" si="55"/>
        <v>7580.5539205608075</v>
      </c>
      <c r="C206" s="176">
        <f t="shared" si="55"/>
        <v>2766902.1810046956</v>
      </c>
      <c r="D206" s="176">
        <f t="shared" si="55"/>
        <v>470373.37077079713</v>
      </c>
      <c r="E206" s="176">
        <f t="shared" si="55"/>
        <v>2296528.810233891</v>
      </c>
      <c r="G206" s="172">
        <f t="shared" si="48"/>
        <v>573770.63962232287</v>
      </c>
      <c r="H206" s="172">
        <f t="shared" si="48"/>
        <v>52812.262713839926</v>
      </c>
      <c r="I206" s="172">
        <f t="shared" si="48"/>
        <v>626582.90233616275</v>
      </c>
      <c r="K206" s="573">
        <v>2038</v>
      </c>
      <c r="L206" s="182">
        <f t="shared" si="49"/>
        <v>941576.81219589524</v>
      </c>
      <c r="M206" s="182">
        <f t="shared" si="50"/>
        <v>451558.43593996525</v>
      </c>
      <c r="N206" s="182">
        <f t="shared" si="51"/>
        <v>1393135.2481358605</v>
      </c>
      <c r="P206" s="4"/>
      <c r="Q206" s="573">
        <v>2038</v>
      </c>
      <c r="R206" s="182">
        <f t="shared" si="52"/>
        <v>8721313.7222593073</v>
      </c>
      <c r="S206" s="182">
        <f t="shared" si="53"/>
        <v>1557961.7500582777</v>
      </c>
      <c r="T206" s="182">
        <f t="shared" si="54"/>
        <v>10279275.472317586</v>
      </c>
    </row>
    <row r="207" spans="1:20">
      <c r="A207" s="573">
        <v>2039</v>
      </c>
      <c r="B207" s="176">
        <f t="shared" si="55"/>
        <v>7699.6222512934473</v>
      </c>
      <c r="C207" s="176">
        <f t="shared" si="55"/>
        <v>2810362.1217221096</v>
      </c>
      <c r="D207" s="176">
        <f t="shared" si="55"/>
        <v>477761.56069275737</v>
      </c>
      <c r="E207" s="176">
        <f t="shared" si="55"/>
        <v>2332600.5610293522</v>
      </c>
      <c r="G207" s="172">
        <f t="shared" si="48"/>
        <v>604429.11035799293</v>
      </c>
      <c r="H207" s="172">
        <f t="shared" si="48"/>
        <v>53976.048178435572</v>
      </c>
      <c r="I207" s="172">
        <f t="shared" si="48"/>
        <v>658405.15853642847</v>
      </c>
      <c r="K207" s="573">
        <v>2039</v>
      </c>
      <c r="L207" s="182">
        <f t="shared" si="49"/>
        <v>956366.23002203437</v>
      </c>
      <c r="M207" s="182">
        <f t="shared" si="50"/>
        <v>458651.09826504707</v>
      </c>
      <c r="N207" s="182">
        <f t="shared" si="51"/>
        <v>1415017.3282870813</v>
      </c>
      <c r="P207" s="4"/>
      <c r="Q207" s="573">
        <v>2039</v>
      </c>
      <c r="R207" s="182">
        <f t="shared" si="52"/>
        <v>9187322.4774414916</v>
      </c>
      <c r="S207" s="182">
        <f t="shared" si="53"/>
        <v>1592293.4212638494</v>
      </c>
      <c r="T207" s="182">
        <f t="shared" si="54"/>
        <v>10779615.898705341</v>
      </c>
    </row>
    <row r="208" spans="1:20">
      <c r="A208" s="573">
        <v>2040</v>
      </c>
      <c r="B208" s="176">
        <f t="shared" si="55"/>
        <v>7820.5480000000098</v>
      </c>
      <c r="C208" s="176">
        <f t="shared" si="55"/>
        <v>2854500.0200000033</v>
      </c>
      <c r="D208" s="176">
        <f t="shared" si="55"/>
        <v>485265.00340000167</v>
      </c>
      <c r="E208" s="176">
        <f t="shared" si="55"/>
        <v>2369235.0166000053</v>
      </c>
      <c r="G208" s="172">
        <f t="shared" si="48"/>
        <v>638161.82900261623</v>
      </c>
      <c r="H208" s="172">
        <f t="shared" si="48"/>
        <v>55172.84169457409</v>
      </c>
      <c r="I208" s="172">
        <f t="shared" si="48"/>
        <v>693334.67069719033</v>
      </c>
      <c r="K208" s="573">
        <v>2040</v>
      </c>
      <c r="L208" s="182">
        <f t="shared" si="49"/>
        <v>971386.35680600209</v>
      </c>
      <c r="M208" s="182">
        <f t="shared" si="50"/>
        <v>465854.40326400159</v>
      </c>
      <c r="N208" s="182">
        <f t="shared" si="51"/>
        <v>1437240.7600700036</v>
      </c>
      <c r="P208" s="4"/>
      <c r="Q208" s="573">
        <v>2040</v>
      </c>
      <c r="R208" s="182">
        <f t="shared" si="52"/>
        <v>9700059.8008397669</v>
      </c>
      <c r="S208" s="182">
        <f t="shared" si="53"/>
        <v>1627598.8299899357</v>
      </c>
      <c r="T208" s="182">
        <f t="shared" si="54"/>
        <v>11327658.630829703</v>
      </c>
    </row>
    <row r="209" spans="1:22">
      <c r="A209" s="573">
        <v>2041</v>
      </c>
      <c r="B209" s="176">
        <f t="shared" si="55"/>
        <v>7832.681399867346</v>
      </c>
      <c r="C209" s="176">
        <f t="shared" si="55"/>
        <v>2858928.7109515816</v>
      </c>
      <c r="D209" s="176">
        <f t="shared" si="55"/>
        <v>486017.8808617685</v>
      </c>
      <c r="E209" s="176">
        <f t="shared" si="55"/>
        <v>2372910.830089815</v>
      </c>
      <c r="G209" s="172">
        <f t="shared" si="48"/>
        <v>658746.79007983394</v>
      </c>
      <c r="H209" s="172">
        <f t="shared" si="48"/>
        <v>55863.427095112726</v>
      </c>
      <c r="I209" s="172">
        <f t="shared" si="48"/>
        <v>714610.21717494668</v>
      </c>
      <c r="K209" s="573">
        <v>2041</v>
      </c>
      <c r="L209" s="182">
        <f t="shared" si="49"/>
        <v>972893.44033682405</v>
      </c>
      <c r="M209" s="182">
        <f t="shared" si="50"/>
        <v>466577.16562729777</v>
      </c>
      <c r="N209" s="182">
        <f t="shared" si="51"/>
        <v>1439470.6059641219</v>
      </c>
      <c r="P209" s="4"/>
      <c r="Q209" s="573">
        <v>2041</v>
      </c>
      <c r="R209" s="182">
        <f t="shared" si="52"/>
        <v>10012951.209213475</v>
      </c>
      <c r="S209" s="182">
        <f t="shared" si="53"/>
        <v>1647971.0993058253</v>
      </c>
      <c r="T209" s="182">
        <f t="shared" si="54"/>
        <v>11660922.3085193</v>
      </c>
    </row>
    <row r="210" spans="1:22">
      <c r="A210" s="573">
        <v>2042</v>
      </c>
      <c r="B210" s="176">
        <f t="shared" si="55"/>
        <v>7844.6987152538786</v>
      </c>
      <c r="C210" s="176">
        <f t="shared" si="55"/>
        <v>2863315.0310676694</v>
      </c>
      <c r="D210" s="176">
        <f t="shared" si="55"/>
        <v>486763.55528150499</v>
      </c>
      <c r="E210" s="176">
        <f t="shared" si="55"/>
        <v>2376551.4757861644</v>
      </c>
      <c r="G210" s="172">
        <f t="shared" si="48"/>
        <v>680578.37721572537</v>
      </c>
      <c r="H210" s="172">
        <f t="shared" si="48"/>
        <v>56565.173272219108</v>
      </c>
      <c r="I210" s="172">
        <f t="shared" si="48"/>
        <v>737143.55048794451</v>
      </c>
      <c r="K210" s="573">
        <v>2042</v>
      </c>
      <c r="L210" s="182">
        <f t="shared" si="49"/>
        <v>974386.10507232731</v>
      </c>
      <c r="M210" s="182">
        <f t="shared" si="50"/>
        <v>467293.01307024475</v>
      </c>
      <c r="N210" s="182">
        <f t="shared" si="51"/>
        <v>1441679.118142572</v>
      </c>
      <c r="P210" s="4"/>
      <c r="Q210" s="573">
        <v>2042</v>
      </c>
      <c r="R210" s="182">
        <f t="shared" si="52"/>
        <v>10344791.333679026</v>
      </c>
      <c r="S210" s="182">
        <f t="shared" si="53"/>
        <v>1668672.6115304637</v>
      </c>
      <c r="T210" s="182">
        <f t="shared" si="54"/>
        <v>12013463.94520949</v>
      </c>
    </row>
    <row r="211" spans="1:22">
      <c r="A211" s="573">
        <v>2043</v>
      </c>
      <c r="B211" s="176">
        <f t="shared" si="55"/>
        <v>7856.5978726957983</v>
      </c>
      <c r="C211" s="176">
        <f t="shared" si="55"/>
        <v>2867658.2235339656</v>
      </c>
      <c r="D211" s="176">
        <f t="shared" si="55"/>
        <v>487501.89800077491</v>
      </c>
      <c r="E211" s="176">
        <f t="shared" si="55"/>
        <v>2380156.3255331963</v>
      </c>
      <c r="G211" s="172">
        <f t="shared" si="48"/>
        <v>703778.49273231521</v>
      </c>
      <c r="H211" s="172">
        <f t="shared" si="48"/>
        <v>57278.325951277911</v>
      </c>
      <c r="I211" s="172">
        <f t="shared" si="48"/>
        <v>761056.81868359307</v>
      </c>
      <c r="K211" s="573">
        <v>2043</v>
      </c>
      <c r="L211" s="182">
        <f t="shared" si="49"/>
        <v>975864.09346861043</v>
      </c>
      <c r="M211" s="182">
        <f t="shared" si="50"/>
        <v>468001.82208074391</v>
      </c>
      <c r="N211" s="182">
        <f t="shared" si="51"/>
        <v>1443865.9155493544</v>
      </c>
      <c r="P211" s="4"/>
      <c r="Q211" s="573">
        <v>2043</v>
      </c>
      <c r="R211" s="182">
        <f t="shared" si="52"/>
        <v>10697433.089531191</v>
      </c>
      <c r="S211" s="182">
        <f t="shared" si="53"/>
        <v>1689710.6155626983</v>
      </c>
      <c r="T211" s="182">
        <f t="shared" si="54"/>
        <v>12387143.705093889</v>
      </c>
    </row>
    <row r="212" spans="1:22">
      <c r="A212" s="573">
        <v>2044</v>
      </c>
      <c r="B212" s="176">
        <f t="shared" si="55"/>
        <v>7868.3767738072202</v>
      </c>
      <c r="C212" s="176">
        <f t="shared" si="55"/>
        <v>2871957.5224396437</v>
      </c>
      <c r="D212" s="176">
        <f t="shared" si="55"/>
        <v>488232.77881473862</v>
      </c>
      <c r="E212" s="176">
        <f t="shared" si="55"/>
        <v>2383724.7436249033</v>
      </c>
      <c r="G212" s="172">
        <f t="shared" si="48"/>
        <v>728485.97905193339</v>
      </c>
      <c r="H212" s="172">
        <f t="shared" si="48"/>
        <v>58003.13809642756</v>
      </c>
      <c r="I212" s="172">
        <f t="shared" si="48"/>
        <v>786489.11714836094</v>
      </c>
      <c r="K212" s="573">
        <v>2044</v>
      </c>
      <c r="L212" s="182">
        <f t="shared" si="49"/>
        <v>977327.14488621033</v>
      </c>
      <c r="M212" s="182">
        <f t="shared" si="50"/>
        <v>468703.46766214905</v>
      </c>
      <c r="N212" s="182">
        <f t="shared" si="51"/>
        <v>1446030.6125483594</v>
      </c>
      <c r="P212" s="4"/>
      <c r="Q212" s="573">
        <v>2044</v>
      </c>
      <c r="R212" s="182">
        <f t="shared" si="52"/>
        <v>11072986.881589387</v>
      </c>
      <c r="S212" s="182">
        <f t="shared" si="53"/>
        <v>1711092.573844613</v>
      </c>
      <c r="T212" s="182">
        <f t="shared" si="54"/>
        <v>12784079.455434</v>
      </c>
    </row>
    <row r="213" spans="1:22">
      <c r="A213" s="573">
        <v>2045</v>
      </c>
      <c r="B213" s="176">
        <f t="shared" si="55"/>
        <v>7880.0332950045995</v>
      </c>
      <c r="C213" s="176">
        <f t="shared" si="55"/>
        <v>2876212.1526766866</v>
      </c>
      <c r="D213" s="176">
        <f t="shared" si="55"/>
        <v>488956.06595503725</v>
      </c>
      <c r="E213" s="176">
        <f t="shared" si="55"/>
        <v>2387256.0867216513</v>
      </c>
      <c r="G213" s="172">
        <f t="shared" si="48"/>
        <v>754859.71733878332</v>
      </c>
      <c r="H213" s="172">
        <f t="shared" si="48"/>
        <v>58739.870182010913</v>
      </c>
      <c r="I213" s="172">
        <f t="shared" si="48"/>
        <v>813599.58752079424</v>
      </c>
      <c r="K213" s="573">
        <v>2045</v>
      </c>
      <c r="L213" s="182">
        <f t="shared" si="49"/>
        <v>978774.99555587699</v>
      </c>
      <c r="M213" s="182">
        <f t="shared" si="50"/>
        <v>469397.82331683574</v>
      </c>
      <c r="N213" s="182">
        <f t="shared" si="51"/>
        <v>1448172.8188727128</v>
      </c>
      <c r="P213" s="4"/>
      <c r="Q213" s="573">
        <v>2045</v>
      </c>
      <c r="R213" s="182">
        <f t="shared" si="52"/>
        <v>11473867.703549506</v>
      </c>
      <c r="S213" s="182">
        <f t="shared" si="53"/>
        <v>1732826.1703693219</v>
      </c>
      <c r="T213" s="182">
        <f t="shared" si="54"/>
        <v>13206693.873918828</v>
      </c>
    </row>
    <row r="214" spans="1:22">
      <c r="A214" s="573">
        <v>2046</v>
      </c>
      <c r="B214" s="176">
        <f t="shared" si="55"/>
        <v>7891.5652872296923</v>
      </c>
      <c r="C214" s="176">
        <f t="shared" si="55"/>
        <v>2880421.3298388347</v>
      </c>
      <c r="D214" s="176">
        <f t="shared" si="55"/>
        <v>489671.62607260235</v>
      </c>
      <c r="E214" s="176">
        <f t="shared" si="55"/>
        <v>2390749.7037662342</v>
      </c>
      <c r="G214" s="172">
        <f t="shared" si="48"/>
        <v>783082.43795591989</v>
      </c>
      <c r="H214" s="172">
        <f t="shared" si="48"/>
        <v>59488.79047644481</v>
      </c>
      <c r="I214" s="172">
        <f t="shared" si="48"/>
        <v>842571.22843236465</v>
      </c>
      <c r="K214" s="573">
        <v>2046</v>
      </c>
      <c r="L214" s="182">
        <f t="shared" si="49"/>
        <v>980207.37854415597</v>
      </c>
      <c r="M214" s="182">
        <f t="shared" si="50"/>
        <v>470084.76102969825</v>
      </c>
      <c r="N214" s="182">
        <f t="shared" si="51"/>
        <v>1450292.1395738542</v>
      </c>
      <c r="P214" s="4"/>
      <c r="Q214" s="573">
        <v>2046</v>
      </c>
      <c r="R214" s="182">
        <f t="shared" si="52"/>
        <v>11902853.056929981</v>
      </c>
      <c r="S214" s="182">
        <f t="shared" si="53"/>
        <v>1754919.3190551219</v>
      </c>
      <c r="T214" s="182">
        <f t="shared" si="54"/>
        <v>13657772.375985103</v>
      </c>
    </row>
    <row r="215" spans="1:22">
      <c r="A215" s="573">
        <v>2047</v>
      </c>
      <c r="B215" s="176">
        <f t="shared" si="55"/>
        <v>7902.9705756674521</v>
      </c>
      <c r="C215" s="176">
        <f t="shared" si="55"/>
        <v>2884584.2601186186</v>
      </c>
      <c r="D215" s="176">
        <f t="shared" si="55"/>
        <v>490379.32422016561</v>
      </c>
      <c r="E215" s="176">
        <f t="shared" si="55"/>
        <v>2394204.935898453</v>
      </c>
      <c r="G215" s="172">
        <f t="shared" si="48"/>
        <v>813365.44189902407</v>
      </c>
      <c r="H215" s="172">
        <f t="shared" si="48"/>
        <v>60250.175339181696</v>
      </c>
      <c r="I215" s="172">
        <f t="shared" si="48"/>
        <v>873615.61723820574</v>
      </c>
      <c r="K215" s="573">
        <v>2047</v>
      </c>
      <c r="L215" s="182">
        <f t="shared" si="49"/>
        <v>981624.0237183657</v>
      </c>
      <c r="M215" s="182">
        <f t="shared" si="50"/>
        <v>470764.15125135897</v>
      </c>
      <c r="N215" s="182">
        <f t="shared" si="51"/>
        <v>1452388.1749697246</v>
      </c>
      <c r="P215" s="4"/>
      <c r="Q215" s="573">
        <v>2047</v>
      </c>
      <c r="R215" s="182">
        <f t="shared" si="52"/>
        <v>12363154.716865165</v>
      </c>
      <c r="S215" s="182">
        <f t="shared" si="53"/>
        <v>1777380.17250586</v>
      </c>
      <c r="T215" s="182">
        <f t="shared" si="54"/>
        <v>14140534.889371024</v>
      </c>
    </row>
    <row r="216" spans="1:22">
      <c r="A216" s="573">
        <v>2048</v>
      </c>
      <c r="B216" s="176">
        <f t="shared" si="55"/>
        <v>7914.2469594627328</v>
      </c>
      <c r="C216" s="176">
        <f t="shared" si="55"/>
        <v>2888700.1402038932</v>
      </c>
      <c r="D216" s="176">
        <f t="shared" si="55"/>
        <v>491079.02383466251</v>
      </c>
      <c r="E216" s="176">
        <f t="shared" si="55"/>
        <v>2397621.1163692325</v>
      </c>
      <c r="G216" s="172">
        <f t="shared" si="48"/>
        <v>845954.49883057515</v>
      </c>
      <c r="H216" s="172">
        <f t="shared" si="48"/>
        <v>61024.309531478182</v>
      </c>
      <c r="I216" s="172">
        <f t="shared" si="48"/>
        <v>906978.80836205336</v>
      </c>
      <c r="K216" s="573">
        <v>2048</v>
      </c>
      <c r="L216" s="182">
        <f t="shared" si="49"/>
        <v>983024.65771138528</v>
      </c>
      <c r="M216" s="182">
        <f t="shared" si="50"/>
        <v>471435.862881276</v>
      </c>
      <c r="N216" s="182">
        <f t="shared" si="51"/>
        <v>1454460.5205926613</v>
      </c>
      <c r="P216" s="4"/>
      <c r="Q216" s="573">
        <v>2048</v>
      </c>
      <c r="R216" s="182">
        <f t="shared" si="52"/>
        <v>12858508.382224742</v>
      </c>
      <c r="S216" s="182">
        <f t="shared" si="53"/>
        <v>1800217.1311786063</v>
      </c>
      <c r="T216" s="182">
        <f t="shared" si="54"/>
        <v>14658725.513403349</v>
      </c>
    </row>
    <row r="217" spans="1:22">
      <c r="A217" s="573">
        <v>2049</v>
      </c>
      <c r="B217" s="176">
        <f t="shared" ref="B217:E223" si="56">B120-N169</f>
        <v>7925.3922114327142</v>
      </c>
      <c r="C217" s="176">
        <f t="shared" si="56"/>
        <v>2892768.1571729407</v>
      </c>
      <c r="D217" s="176">
        <f t="shared" si="56"/>
        <v>491770.58671939932</v>
      </c>
      <c r="E217" s="176">
        <f t="shared" si="56"/>
        <v>2400997.5704535469</v>
      </c>
      <c r="G217" s="172">
        <f t="shared" si="48"/>
        <v>881137.27986064588</v>
      </c>
      <c r="H217" s="172">
        <f t="shared" si="48"/>
        <v>61811.486541731356</v>
      </c>
      <c r="I217" s="172">
        <f t="shared" si="48"/>
        <v>942948.76640237728</v>
      </c>
      <c r="K217" s="573">
        <v>2049</v>
      </c>
      <c r="L217" s="182">
        <f t="shared" si="49"/>
        <v>984409.00388595415</v>
      </c>
      <c r="M217" s="182">
        <f t="shared" si="50"/>
        <v>472099.76325062331</v>
      </c>
      <c r="N217" s="182">
        <f t="shared" si="51"/>
        <v>1456508.7671365775</v>
      </c>
      <c r="P217" s="4"/>
      <c r="Q217" s="573">
        <v>2049</v>
      </c>
      <c r="R217" s="182">
        <f t="shared" si="52"/>
        <v>13393286.653881816</v>
      </c>
      <c r="S217" s="182">
        <f t="shared" si="53"/>
        <v>1823438.8529810749</v>
      </c>
      <c r="T217" s="182">
        <f t="shared" si="54"/>
        <v>15216725.506862892</v>
      </c>
    </row>
    <row r="218" spans="1:22">
      <c r="A218" s="573">
        <v>2050</v>
      </c>
      <c r="B218" s="176">
        <f t="shared" si="56"/>
        <v>7936.4040777770279</v>
      </c>
      <c r="C218" s="176">
        <f t="shared" si="56"/>
        <v>2896787.4883886129</v>
      </c>
      <c r="D218" s="176">
        <f t="shared" si="56"/>
        <v>492453.87302606553</v>
      </c>
      <c r="E218" s="176">
        <f t="shared" si="56"/>
        <v>2404333.6153625548</v>
      </c>
      <c r="G218" s="172">
        <f t="shared" si="48"/>
        <v>919252.81367956474</v>
      </c>
      <c r="H218" s="172">
        <f t="shared" si="48"/>
        <v>62612.008926191942</v>
      </c>
      <c r="I218" s="172">
        <f t="shared" si="48"/>
        <v>981864.82260575669</v>
      </c>
      <c r="K218" s="573">
        <v>2050</v>
      </c>
      <c r="L218" s="182">
        <f t="shared" si="49"/>
        <v>985776.78229864745</v>
      </c>
      <c r="M218" s="182">
        <f t="shared" si="50"/>
        <v>472755.71810502291</v>
      </c>
      <c r="N218" s="182">
        <f t="shared" si="51"/>
        <v>1458532.5004036704</v>
      </c>
      <c r="P218" s="4"/>
      <c r="Q218" s="573">
        <v>2050</v>
      </c>
      <c r="R218" s="182">
        <f t="shared" si="52"/>
        <v>13972642.767929383</v>
      </c>
      <c r="S218" s="182">
        <f t="shared" si="53"/>
        <v>1847054.2633226623</v>
      </c>
      <c r="T218" s="182">
        <f t="shared" si="54"/>
        <v>15819697.031252045</v>
      </c>
    </row>
    <row r="219" spans="1:22">
      <c r="A219" s="573">
        <v>2051</v>
      </c>
      <c r="B219" s="176">
        <f t="shared" si="56"/>
        <v>7947.2802777842444</v>
      </c>
      <c r="C219" s="176">
        <f t="shared" si="56"/>
        <v>2900757.3013912514</v>
      </c>
      <c r="D219" s="176">
        <f t="shared" si="56"/>
        <v>493128.74123651162</v>
      </c>
      <c r="E219" s="176">
        <f t="shared" si="56"/>
        <v>2407628.560154736</v>
      </c>
      <c r="G219" s="172">
        <f t="shared" si="48"/>
        <v>960703.64115718845</v>
      </c>
      <c r="H219" s="172">
        <f t="shared" si="48"/>
        <v>63426.188665915135</v>
      </c>
      <c r="I219" s="172">
        <f t="shared" si="48"/>
        <v>1024129.8298231036</v>
      </c>
      <c r="K219" s="573">
        <v>2051</v>
      </c>
      <c r="L219" s="182">
        <f t="shared" si="49"/>
        <v>987127.70966344175</v>
      </c>
      <c r="M219" s="182">
        <f t="shared" si="50"/>
        <v>473403.59158705111</v>
      </c>
      <c r="N219" s="182">
        <f t="shared" si="51"/>
        <v>1460531.3012504929</v>
      </c>
      <c r="P219" s="4"/>
      <c r="Q219" s="573">
        <v>2051</v>
      </c>
      <c r="R219" s="182">
        <f t="shared" si="52"/>
        <v>14602695.345589263</v>
      </c>
      <c r="S219" s="182">
        <f t="shared" si="53"/>
        <v>1871072.5656444966</v>
      </c>
      <c r="T219" s="182">
        <f t="shared" si="54"/>
        <v>16473767.91123376</v>
      </c>
    </row>
    <row r="220" spans="1:22">
      <c r="A220" s="573">
        <v>2052</v>
      </c>
      <c r="B220" s="176">
        <f t="shared" si="56"/>
        <v>7958.0185035353934</v>
      </c>
      <c r="C220" s="176">
        <f t="shared" si="56"/>
        <v>2904676.7537904307</v>
      </c>
      <c r="D220" s="176">
        <f t="shared" si="56"/>
        <v>493795.04814437218</v>
      </c>
      <c r="E220" s="176">
        <f t="shared" si="56"/>
        <v>2410881.7056460604</v>
      </c>
      <c r="G220" s="172">
        <f t="shared" si="48"/>
        <v>1005971.6141907166</v>
      </c>
      <c r="H220" s="172">
        <f t="shared" si="48"/>
        <v>64254.347540866627</v>
      </c>
      <c r="I220" s="172">
        <f t="shared" si="48"/>
        <v>1070225.9617315833</v>
      </c>
      <c r="K220" s="573">
        <v>2052</v>
      </c>
      <c r="L220" s="182">
        <f t="shared" si="49"/>
        <v>988461.49931488466</v>
      </c>
      <c r="M220" s="182">
        <f t="shared" si="50"/>
        <v>474043.24621859728</v>
      </c>
      <c r="N220" s="182">
        <f t="shared" si="51"/>
        <v>1462504.7455334819</v>
      </c>
      <c r="P220" s="4"/>
      <c r="Q220" s="573">
        <v>2052</v>
      </c>
      <c r="R220" s="182">
        <f t="shared" si="52"/>
        <v>15290768.535698893</v>
      </c>
      <c r="S220" s="182">
        <f t="shared" si="53"/>
        <v>1895503.2524555656</v>
      </c>
      <c r="T220" s="182">
        <f t="shared" si="54"/>
        <v>17186271.788154457</v>
      </c>
    </row>
    <row r="221" spans="1:22">
      <c r="A221" s="573">
        <v>2053</v>
      </c>
      <c r="B221" s="176">
        <f t="shared" si="56"/>
        <v>7968.6164196041063</v>
      </c>
      <c r="C221" s="176">
        <f t="shared" si="56"/>
        <v>2908544.9931555018</v>
      </c>
      <c r="D221" s="176">
        <f t="shared" si="56"/>
        <v>494452.64883643575</v>
      </c>
      <c r="E221" s="176">
        <f t="shared" si="56"/>
        <v>2414092.3443190604</v>
      </c>
      <c r="G221" s="172">
        <f t="shared" si="48"/>
        <v>1055638.6838394254</v>
      </c>
      <c r="H221" s="172">
        <f t="shared" si="48"/>
        <v>65096.817522160964</v>
      </c>
      <c r="I221" s="172">
        <f t="shared" si="48"/>
        <v>1120735.5013615864</v>
      </c>
      <c r="K221" s="573">
        <v>2053</v>
      </c>
      <c r="L221" s="182">
        <f t="shared" si="49"/>
        <v>989777.86117081472</v>
      </c>
      <c r="M221" s="182">
        <f t="shared" si="50"/>
        <v>474674.54288297828</v>
      </c>
      <c r="N221" s="182">
        <f t="shared" si="51"/>
        <v>1464452.4040537931</v>
      </c>
      <c r="P221" s="4"/>
      <c r="Q221" s="573">
        <v>2053</v>
      </c>
      <c r="R221" s="182">
        <f t="shared" si="52"/>
        <v>16045707.994359266</v>
      </c>
      <c r="S221" s="182">
        <f t="shared" si="53"/>
        <v>1920356.1169037484</v>
      </c>
      <c r="T221" s="182">
        <f t="shared" si="54"/>
        <v>17966064.111263014</v>
      </c>
    </row>
    <row r="222" spans="1:22">
      <c r="A222" s="573">
        <v>2054</v>
      </c>
      <c r="B222" s="176">
        <f t="shared" si="56"/>
        <v>7979.071662754257</v>
      </c>
      <c r="C222" s="176">
        <f t="shared" si="56"/>
        <v>2912361.1569053084</v>
      </c>
      <c r="D222" s="176">
        <f t="shared" si="56"/>
        <v>495101.39667390101</v>
      </c>
      <c r="E222" s="176">
        <f t="shared" si="56"/>
        <v>2417259.7602314055</v>
      </c>
      <c r="G222" s="172">
        <f t="shared" si="48"/>
        <v>1110414.622307078</v>
      </c>
      <c r="H222" s="172">
        <f t="shared" si="48"/>
        <v>65953.941183473697</v>
      </c>
      <c r="I222" s="172">
        <f t="shared" si="48"/>
        <v>1176368.5634905517</v>
      </c>
      <c r="K222" s="573">
        <v>2054</v>
      </c>
      <c r="L222" s="182">
        <f t="shared" si="49"/>
        <v>991076.50169487623</v>
      </c>
      <c r="M222" s="182">
        <f t="shared" si="50"/>
        <v>475297.34080694494</v>
      </c>
      <c r="N222" s="182">
        <f t="shared" si="51"/>
        <v>1466373.8425018212</v>
      </c>
      <c r="P222" s="4"/>
      <c r="Q222" s="573">
        <v>2054</v>
      </c>
      <c r="R222" s="182">
        <f t="shared" si="52"/>
        <v>16878302.259067584</v>
      </c>
      <c r="S222" s="182">
        <f t="shared" si="53"/>
        <v>1945641.264912474</v>
      </c>
      <c r="T222" s="182">
        <f t="shared" si="54"/>
        <v>18823943.523980059</v>
      </c>
    </row>
    <row r="223" spans="1:22">
      <c r="A223" s="573">
        <v>2055</v>
      </c>
      <c r="B223" s="176">
        <f t="shared" si="56"/>
        <v>7989.381841633236</v>
      </c>
      <c r="C223" s="176">
        <f t="shared" si="56"/>
        <v>2916124.3721961379</v>
      </c>
      <c r="D223" s="176">
        <f t="shared" si="56"/>
        <v>495741.1432733424</v>
      </c>
      <c r="E223" s="176">
        <f t="shared" si="56"/>
        <v>2420383.2289227918</v>
      </c>
      <c r="G223" s="172">
        <f t="shared" si="48"/>
        <v>1171174.541344061</v>
      </c>
      <c r="H223" s="172">
        <f t="shared" si="48"/>
        <v>66826.072132739107</v>
      </c>
      <c r="I223" s="172">
        <f t="shared" si="48"/>
        <v>1238000.6134768</v>
      </c>
      <c r="K223" s="573">
        <v>2055</v>
      </c>
      <c r="L223" s="182">
        <f t="shared" si="49"/>
        <v>992357.12385834462</v>
      </c>
      <c r="M223" s="182">
        <f t="shared" si="50"/>
        <v>475911.4975424087</v>
      </c>
      <c r="N223" s="182">
        <f t="shared" si="51"/>
        <v>1468268.6214007533</v>
      </c>
      <c r="Q223" s="573">
        <v>2055</v>
      </c>
      <c r="R223" s="182">
        <f t="shared" si="52"/>
        <v>17801853.028429728</v>
      </c>
      <c r="S223" s="182">
        <f t="shared" si="53"/>
        <v>1971369.1279158036</v>
      </c>
      <c r="T223" s="182">
        <f t="shared" si="54"/>
        <v>19773222.156345531</v>
      </c>
    </row>
    <row r="224" spans="1:22">
      <c r="S224" s="5"/>
      <c r="T224" s="5"/>
      <c r="U224" s="5"/>
      <c r="V224" s="5"/>
    </row>
    <row r="225" spans="1:22">
      <c r="S225" s="4"/>
      <c r="T225" s="4"/>
      <c r="U225" s="88"/>
      <c r="V225" s="88"/>
    </row>
    <row r="226" spans="1:22">
      <c r="S226" s="4"/>
      <c r="T226" s="183"/>
      <c r="U226" s="183"/>
      <c r="V226" s="183"/>
    </row>
    <row r="227" spans="1:22">
      <c r="S227" s="4"/>
      <c r="T227" s="183"/>
      <c r="U227" s="183"/>
      <c r="V227" s="183"/>
    </row>
    <row r="228" spans="1:22">
      <c r="S228" s="4"/>
      <c r="T228" s="183"/>
      <c r="U228" s="183"/>
      <c r="V228" s="183"/>
    </row>
    <row r="229" spans="1:22">
      <c r="S229" s="4"/>
      <c r="T229" s="183"/>
      <c r="U229" s="183"/>
      <c r="V229" s="183"/>
    </row>
    <row r="230" spans="1:22">
      <c r="A230" s="184"/>
      <c r="B230" s="184"/>
      <c r="C230" s="184"/>
      <c r="S230" s="4"/>
      <c r="T230" s="183"/>
      <c r="U230" s="183"/>
      <c r="V230" s="183"/>
    </row>
    <row r="231" spans="1:22">
      <c r="S231" s="4"/>
      <c r="T231" s="183"/>
      <c r="U231" s="183"/>
      <c r="V231" s="183"/>
    </row>
    <row r="232" spans="1:22">
      <c r="S232" s="4"/>
      <c r="T232" s="183"/>
      <c r="U232" s="183"/>
      <c r="V232" s="183"/>
    </row>
    <row r="233" spans="1:22">
      <c r="S233" s="4"/>
      <c r="T233" s="183"/>
      <c r="U233" s="183"/>
      <c r="V233" s="183"/>
    </row>
    <row r="234" spans="1:22">
      <c r="S234" s="4"/>
      <c r="T234" s="183"/>
      <c r="U234" s="183"/>
      <c r="V234" s="183"/>
    </row>
    <row r="235" spans="1:22">
      <c r="C235" s="1"/>
      <c r="S235" s="4"/>
      <c r="T235" s="183"/>
      <c r="U235" s="183"/>
      <c r="V235" s="183"/>
    </row>
    <row r="236" spans="1:22">
      <c r="S236" s="4"/>
      <c r="T236" s="183"/>
      <c r="U236" s="183"/>
      <c r="V236" s="183"/>
    </row>
    <row r="237" spans="1:22">
      <c r="S237" s="4"/>
      <c r="T237" s="183"/>
      <c r="U237" s="183"/>
      <c r="V237" s="183"/>
    </row>
    <row r="238" spans="1:22">
      <c r="S238" s="4"/>
      <c r="T238" s="183"/>
      <c r="U238" s="183"/>
      <c r="V238" s="183"/>
    </row>
    <row r="239" spans="1:22">
      <c r="S239" s="4"/>
      <c r="T239" s="183"/>
      <c r="U239" s="183"/>
      <c r="V239" s="183"/>
    </row>
    <row r="240" spans="1:22">
      <c r="S240" s="4"/>
      <c r="T240" s="183"/>
      <c r="U240" s="183"/>
      <c r="V240" s="183"/>
    </row>
    <row r="241" spans="2:22">
      <c r="S241" s="4"/>
      <c r="T241" s="183"/>
      <c r="U241" s="183"/>
      <c r="V241" s="183"/>
    </row>
    <row r="242" spans="2:22">
      <c r="S242" s="4"/>
      <c r="T242" s="183"/>
      <c r="U242" s="183"/>
      <c r="V242" s="183"/>
    </row>
    <row r="243" spans="2:22">
      <c r="B243" s="185"/>
      <c r="S243" s="4"/>
      <c r="T243" s="183"/>
      <c r="U243" s="183"/>
      <c r="V243" s="183"/>
    </row>
    <row r="244" spans="2:22">
      <c r="S244" s="4"/>
      <c r="T244" s="183"/>
      <c r="U244" s="183"/>
      <c r="V244" s="183"/>
    </row>
    <row r="245" spans="2:22">
      <c r="S245" s="4"/>
      <c r="T245" s="183"/>
      <c r="U245" s="183"/>
      <c r="V245" s="183"/>
    </row>
    <row r="246" spans="2:22">
      <c r="S246" s="4"/>
      <c r="T246" s="183"/>
      <c r="U246" s="183"/>
      <c r="V246" s="183"/>
    </row>
    <row r="247" spans="2:22">
      <c r="S247" s="4"/>
      <c r="T247" s="183"/>
      <c r="U247" s="183"/>
      <c r="V247" s="183"/>
    </row>
    <row r="248" spans="2:22">
      <c r="S248" s="4"/>
      <c r="T248" s="183"/>
      <c r="U248" s="183"/>
      <c r="V248" s="183"/>
    </row>
    <row r="249" spans="2:22">
      <c r="S249" s="4"/>
      <c r="T249" s="183"/>
      <c r="U249" s="183"/>
      <c r="V249" s="183"/>
    </row>
    <row r="250" spans="2:22">
      <c r="S250" s="4"/>
      <c r="T250" s="183"/>
      <c r="U250" s="183"/>
      <c r="V250" s="183"/>
    </row>
    <row r="251" spans="2:22">
      <c r="S251" s="4"/>
      <c r="T251" s="183"/>
      <c r="U251" s="183"/>
      <c r="V251" s="183"/>
    </row>
    <row r="252" spans="2:22">
      <c r="S252" s="4"/>
      <c r="T252" s="183"/>
      <c r="U252" s="183"/>
      <c r="V252" s="183"/>
    </row>
    <row r="253" spans="2:22">
      <c r="S253" s="4"/>
      <c r="T253" s="183"/>
      <c r="U253" s="183"/>
      <c r="V253" s="183"/>
    </row>
    <row r="254" spans="2:22">
      <c r="S254" s="4"/>
      <c r="T254" s="183"/>
      <c r="U254" s="183"/>
      <c r="V254" s="183"/>
    </row>
    <row r="255" spans="2:22">
      <c r="S255" s="4"/>
      <c r="T255" s="183"/>
      <c r="U255" s="183"/>
      <c r="V255" s="183"/>
    </row>
    <row r="256" spans="2:22">
      <c r="S256" s="4"/>
      <c r="T256" s="183"/>
      <c r="U256" s="183"/>
      <c r="V256" s="183"/>
    </row>
    <row r="257" spans="19:22">
      <c r="S257" s="4"/>
      <c r="T257" s="183"/>
      <c r="U257" s="183"/>
      <c r="V257" s="183"/>
    </row>
    <row r="258" spans="19:22">
      <c r="S258" s="4"/>
      <c r="T258" s="183"/>
      <c r="U258" s="183"/>
      <c r="V258" s="183"/>
    </row>
    <row r="259" spans="19:22">
      <c r="S259" s="4"/>
      <c r="T259" s="183"/>
      <c r="U259" s="183"/>
      <c r="V259" s="183"/>
    </row>
    <row r="260" spans="19:22">
      <c r="S260" s="4"/>
      <c r="T260" s="183"/>
      <c r="U260" s="183"/>
      <c r="V260" s="183"/>
    </row>
    <row r="261" spans="19:22">
      <c r="S261" s="4"/>
      <c r="T261" s="183"/>
      <c r="U261" s="183"/>
      <c r="V261" s="183"/>
    </row>
    <row r="262" spans="19:22">
      <c r="S262" s="4"/>
      <c r="T262" s="183"/>
      <c r="U262" s="183"/>
      <c r="V262" s="183"/>
    </row>
    <row r="263" spans="19:22">
      <c r="S263" s="4"/>
      <c r="T263" s="183"/>
      <c r="U263" s="183"/>
      <c r="V263" s="183"/>
    </row>
    <row r="264" spans="19:22">
      <c r="S264" s="4"/>
      <c r="T264" s="183"/>
      <c r="U264" s="183"/>
      <c r="V264" s="183"/>
    </row>
    <row r="265" spans="19:22">
      <c r="S265" s="4"/>
      <c r="T265" s="183"/>
      <c r="U265" s="183"/>
      <c r="V265" s="183"/>
    </row>
    <row r="266" spans="19:22">
      <c r="S266" s="4"/>
      <c r="T266" s="183"/>
      <c r="U266" s="183"/>
      <c r="V266" s="183"/>
    </row>
  </sheetData>
  <mergeCells count="55">
    <mergeCell ref="Q183:T183"/>
    <mergeCell ref="AE135:AF135"/>
    <mergeCell ref="A179:B180"/>
    <mergeCell ref="G182:I182"/>
    <mergeCell ref="A183:E183"/>
    <mergeCell ref="G183:I183"/>
    <mergeCell ref="K183:N183"/>
    <mergeCell ref="Y134:AC134"/>
    <mergeCell ref="AE134:AI134"/>
    <mergeCell ref="AK134:AO134"/>
    <mergeCell ref="A135:E135"/>
    <mergeCell ref="G135:K135"/>
    <mergeCell ref="M135:Q135"/>
    <mergeCell ref="S135:T135"/>
    <mergeCell ref="U135:W135"/>
    <mergeCell ref="Y135:Z135"/>
    <mergeCell ref="AA135:AC135"/>
    <mergeCell ref="S134:W134"/>
    <mergeCell ref="AG135:AI135"/>
    <mergeCell ref="AK135:AL135"/>
    <mergeCell ref="AM135:AO135"/>
    <mergeCell ref="A86:E86"/>
    <mergeCell ref="G86:I86"/>
    <mergeCell ref="K86:M86"/>
    <mergeCell ref="O86:Q86"/>
    <mergeCell ref="A130:B131"/>
    <mergeCell ref="A52:E52"/>
    <mergeCell ref="A68:E68"/>
    <mergeCell ref="Q75:R75"/>
    <mergeCell ref="A80:B81"/>
    <mergeCell ref="G85:I85"/>
    <mergeCell ref="K85:M85"/>
    <mergeCell ref="O85:Q85"/>
    <mergeCell ref="A38:E38"/>
    <mergeCell ref="M41:N41"/>
    <mergeCell ref="O41:P41"/>
    <mergeCell ref="Q41:R42"/>
    <mergeCell ref="S41:S43"/>
    <mergeCell ref="A7:B7"/>
    <mergeCell ref="U14:U16"/>
    <mergeCell ref="A17:E17"/>
    <mergeCell ref="A18:B18"/>
    <mergeCell ref="Q37:R37"/>
    <mergeCell ref="Q3:R4"/>
    <mergeCell ref="S3:S5"/>
    <mergeCell ref="T3:T5"/>
    <mergeCell ref="L42:L43"/>
    <mergeCell ref="M42:N42"/>
    <mergeCell ref="O42:P42"/>
    <mergeCell ref="T41:T43"/>
    <mergeCell ref="L4:L5"/>
    <mergeCell ref="M4:N4"/>
    <mergeCell ref="O4:P4"/>
    <mergeCell ref="M3:N3"/>
    <mergeCell ref="O3:P3"/>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61758-DE88-48C0-B4D1-DB6F9A1FC711}">
  <sheetPr>
    <tabColor rgb="FFFFC000"/>
  </sheetPr>
  <dimension ref="A1:AS68"/>
  <sheetViews>
    <sheetView topLeftCell="E1" zoomScale="70" zoomScaleNormal="70" workbookViewId="0">
      <selection activeCell="U1" sqref="U1:X17"/>
    </sheetView>
  </sheetViews>
  <sheetFormatPr defaultRowHeight="12.75"/>
  <cols>
    <col min="1" max="1" width="24.42578125" bestFit="1" customWidth="1"/>
    <col min="2" max="3" width="8.7109375" customWidth="1"/>
    <col min="4" max="4" width="13.7109375" bestFit="1" customWidth="1"/>
    <col min="5" max="5" width="17.28515625" customWidth="1"/>
    <col min="6" max="6" width="18.85546875" bestFit="1" customWidth="1"/>
    <col min="7" max="17" width="8.7109375" customWidth="1"/>
    <col min="18" max="18" width="16.85546875" bestFit="1" customWidth="1"/>
    <col min="19" max="19" width="10.85546875" customWidth="1"/>
    <col min="20" max="20" width="11.28515625" customWidth="1"/>
    <col min="21" max="21" width="10.5703125" customWidth="1"/>
    <col min="22" max="22" width="44.140625" bestFit="1" customWidth="1"/>
    <col min="24" max="24" width="52" bestFit="1" customWidth="1"/>
  </cols>
  <sheetData>
    <row r="1" spans="1:45">
      <c r="A1" s="186" t="s">
        <v>187</v>
      </c>
      <c r="B1" s="671" t="s">
        <v>188</v>
      </c>
      <c r="C1" s="672"/>
      <c r="D1" s="672"/>
      <c r="E1" s="672"/>
      <c r="F1" s="672"/>
      <c r="G1" s="672"/>
      <c r="H1" s="672"/>
      <c r="I1" s="672"/>
      <c r="J1" s="672"/>
      <c r="K1" s="672"/>
      <c r="L1" s="672"/>
      <c r="M1" s="672"/>
      <c r="N1" s="672"/>
      <c r="O1" s="672"/>
      <c r="P1" s="672"/>
      <c r="Q1" s="673"/>
      <c r="R1" t="s">
        <v>189</v>
      </c>
      <c r="U1" t="s">
        <v>190</v>
      </c>
      <c r="V1" s="80" t="s">
        <v>191</v>
      </c>
      <c r="W1" t="s">
        <v>192</v>
      </c>
      <c r="X1" s="80" t="s">
        <v>106</v>
      </c>
    </row>
    <row r="2" spans="1:45" ht="13.5" thickBot="1">
      <c r="A2" s="187">
        <v>0.17</v>
      </c>
      <c r="B2" s="188">
        <v>1</v>
      </c>
      <c r="C2" s="189">
        <v>2</v>
      </c>
      <c r="D2" s="189">
        <v>3</v>
      </c>
      <c r="E2" s="189">
        <v>4</v>
      </c>
      <c r="F2" s="189">
        <v>5</v>
      </c>
      <c r="G2" s="189">
        <v>6</v>
      </c>
      <c r="H2" s="189">
        <v>7</v>
      </c>
      <c r="I2" s="189">
        <v>8</v>
      </c>
      <c r="J2" s="189">
        <v>9</v>
      </c>
      <c r="K2" s="189">
        <v>10</v>
      </c>
      <c r="L2" s="189">
        <v>11</v>
      </c>
      <c r="M2" s="189">
        <v>12</v>
      </c>
      <c r="N2" s="189">
        <v>13</v>
      </c>
      <c r="O2" s="189">
        <v>14</v>
      </c>
      <c r="P2" s="189">
        <v>15</v>
      </c>
      <c r="Q2" s="190">
        <v>16</v>
      </c>
      <c r="U2">
        <v>1</v>
      </c>
      <c r="V2" t="s">
        <v>193</v>
      </c>
      <c r="W2">
        <v>1</v>
      </c>
      <c r="X2" t="s">
        <v>194</v>
      </c>
    </row>
    <row r="3" spans="1:45">
      <c r="A3" s="191" t="s">
        <v>195</v>
      </c>
      <c r="B3" s="192">
        <f>B5-B4</f>
        <v>7494.07</v>
      </c>
      <c r="C3" s="192">
        <f t="shared" ref="C3:Q3" si="0">C5-C4</f>
        <v>15887.029999999999</v>
      </c>
      <c r="D3" s="192">
        <f t="shared" si="0"/>
        <v>15887.029999999999</v>
      </c>
      <c r="E3" s="192">
        <f t="shared" si="0"/>
        <v>15887.029999999999</v>
      </c>
      <c r="F3" s="192">
        <f t="shared" si="0"/>
        <v>14773.17</v>
      </c>
      <c r="G3" s="192">
        <f t="shared" si="0"/>
        <v>14874.43</v>
      </c>
      <c r="H3" s="192">
        <f t="shared" si="0"/>
        <v>13395.369999999999</v>
      </c>
      <c r="I3" s="192">
        <f t="shared" si="0"/>
        <v>13395.369999999999</v>
      </c>
      <c r="J3" s="192">
        <f t="shared" si="0"/>
        <v>13395.369999999999</v>
      </c>
      <c r="K3" s="192">
        <f t="shared" si="0"/>
        <v>8089.18</v>
      </c>
      <c r="L3" s="192">
        <f t="shared" si="0"/>
        <v>8089.18</v>
      </c>
      <c r="M3" s="192">
        <f t="shared" si="0"/>
        <v>8089.18</v>
      </c>
      <c r="N3" s="192">
        <f t="shared" si="0"/>
        <v>10135.959999999999</v>
      </c>
      <c r="O3" s="192">
        <f t="shared" si="0"/>
        <v>10135.959999999999</v>
      </c>
      <c r="P3" s="192">
        <f t="shared" si="0"/>
        <v>7655.09</v>
      </c>
      <c r="Q3" s="192">
        <f t="shared" si="0"/>
        <v>3720.06</v>
      </c>
      <c r="U3">
        <v>2</v>
      </c>
      <c r="V3" t="s">
        <v>196</v>
      </c>
      <c r="W3">
        <v>2</v>
      </c>
      <c r="X3" t="s">
        <v>197</v>
      </c>
      <c r="AF3" s="2"/>
      <c r="AG3" s="2"/>
      <c r="AH3" s="2"/>
      <c r="AI3" s="2"/>
      <c r="AJ3" s="2"/>
      <c r="AK3" s="2"/>
      <c r="AL3" s="2"/>
      <c r="AM3" s="2"/>
      <c r="AN3" s="2"/>
      <c r="AO3" s="2"/>
      <c r="AP3" s="2"/>
      <c r="AQ3" s="2"/>
      <c r="AR3" s="2"/>
      <c r="AS3" s="2"/>
    </row>
    <row r="4" spans="1:45">
      <c r="A4" s="193" t="s">
        <v>198</v>
      </c>
      <c r="B4" s="194">
        <f>B5*$A$2</f>
        <v>1534.93</v>
      </c>
      <c r="C4" s="194">
        <f t="shared" ref="C4:Q4" si="1">C5*$A$2</f>
        <v>3253.9700000000003</v>
      </c>
      <c r="D4" s="194">
        <f t="shared" si="1"/>
        <v>3253.9700000000003</v>
      </c>
      <c r="E4" s="194">
        <f t="shared" si="1"/>
        <v>3253.9700000000003</v>
      </c>
      <c r="F4" s="194">
        <f t="shared" si="1"/>
        <v>3025.8300000000004</v>
      </c>
      <c r="G4" s="194">
        <f t="shared" si="1"/>
        <v>3046.57</v>
      </c>
      <c r="H4" s="194">
        <f t="shared" si="1"/>
        <v>2743.63</v>
      </c>
      <c r="I4" s="194">
        <f t="shared" si="1"/>
        <v>2743.63</v>
      </c>
      <c r="J4" s="194">
        <f t="shared" si="1"/>
        <v>2743.63</v>
      </c>
      <c r="K4" s="194">
        <f t="shared" si="1"/>
        <v>1656.8200000000002</v>
      </c>
      <c r="L4" s="194">
        <f t="shared" si="1"/>
        <v>1656.8200000000002</v>
      </c>
      <c r="M4" s="194">
        <f t="shared" si="1"/>
        <v>1656.8200000000002</v>
      </c>
      <c r="N4" s="194">
        <f t="shared" si="1"/>
        <v>2076.04</v>
      </c>
      <c r="O4" s="194">
        <f t="shared" si="1"/>
        <v>2076.04</v>
      </c>
      <c r="P4" s="194">
        <f t="shared" si="1"/>
        <v>1567.91</v>
      </c>
      <c r="Q4" s="194">
        <f t="shared" si="1"/>
        <v>761.94</v>
      </c>
      <c r="U4">
        <v>3</v>
      </c>
      <c r="V4" t="s">
        <v>199</v>
      </c>
      <c r="W4">
        <v>3</v>
      </c>
      <c r="X4" t="s">
        <v>200</v>
      </c>
    </row>
    <row r="5" spans="1:45">
      <c r="A5" s="195" t="s">
        <v>201</v>
      </c>
      <c r="B5" s="196">
        <v>9029</v>
      </c>
      <c r="C5" s="197">
        <v>19141</v>
      </c>
      <c r="D5" s="197">
        <v>19141</v>
      </c>
      <c r="E5" s="197">
        <v>19141</v>
      </c>
      <c r="F5" s="197">
        <v>17799</v>
      </c>
      <c r="G5" s="197">
        <v>17921</v>
      </c>
      <c r="H5" s="197">
        <v>16139</v>
      </c>
      <c r="I5" s="197">
        <v>16139</v>
      </c>
      <c r="J5" s="197">
        <v>16139</v>
      </c>
      <c r="K5" s="197">
        <v>9746</v>
      </c>
      <c r="L5" s="197">
        <v>9746</v>
      </c>
      <c r="M5" s="197">
        <v>9746</v>
      </c>
      <c r="N5" s="197">
        <v>12212</v>
      </c>
      <c r="O5" s="197">
        <v>12212</v>
      </c>
      <c r="P5" s="197">
        <v>9223</v>
      </c>
      <c r="Q5" s="198">
        <v>4482</v>
      </c>
      <c r="U5">
        <v>4</v>
      </c>
      <c r="V5" t="s">
        <v>202</v>
      </c>
      <c r="W5">
        <v>4</v>
      </c>
      <c r="X5" t="s">
        <v>203</v>
      </c>
    </row>
    <row r="6" spans="1:45">
      <c r="A6" s="195" t="s">
        <v>204</v>
      </c>
      <c r="B6" s="196">
        <v>1.43</v>
      </c>
      <c r="C6" s="197">
        <v>1.51</v>
      </c>
      <c r="D6" s="197">
        <v>0.38</v>
      </c>
      <c r="E6" s="197">
        <v>0.19</v>
      </c>
      <c r="F6" s="197">
        <v>0.26</v>
      </c>
      <c r="G6" s="197">
        <v>0.17</v>
      </c>
      <c r="H6" s="197">
        <v>0.13</v>
      </c>
      <c r="I6" s="197">
        <v>0.55000000000000004</v>
      </c>
      <c r="J6" s="197">
        <v>0.5</v>
      </c>
      <c r="K6" s="197">
        <v>0.24</v>
      </c>
      <c r="L6" s="197">
        <v>0.08</v>
      </c>
      <c r="M6" s="197">
        <v>0.08</v>
      </c>
      <c r="N6" s="197">
        <v>0.16</v>
      </c>
      <c r="O6" s="197">
        <v>0.77</v>
      </c>
      <c r="P6" s="197">
        <v>0.8</v>
      </c>
      <c r="Q6" s="198">
        <v>1.03</v>
      </c>
      <c r="U6">
        <v>5</v>
      </c>
      <c r="V6" t="s">
        <v>205</v>
      </c>
      <c r="W6">
        <v>5</v>
      </c>
      <c r="X6" t="s">
        <v>206</v>
      </c>
    </row>
    <row r="7" spans="1:45" ht="13.5" thickBot="1">
      <c r="A7" s="195" t="s">
        <v>207</v>
      </c>
      <c r="B7" s="199">
        <f>B6/(SUM($B$6:$Q$6))</f>
        <v>0.17270531400966185</v>
      </c>
      <c r="C7" s="200">
        <f t="shared" ref="C7:Q7" si="2">C6/(SUM($B$6:$Q$6))</f>
        <v>0.18236714975845411</v>
      </c>
      <c r="D7" s="200">
        <f t="shared" si="2"/>
        <v>4.5893719806763288E-2</v>
      </c>
      <c r="E7" s="200">
        <f t="shared" si="2"/>
        <v>2.2946859903381644E-2</v>
      </c>
      <c r="F7" s="200">
        <f t="shared" si="2"/>
        <v>3.140096618357488E-2</v>
      </c>
      <c r="G7" s="200">
        <f t="shared" si="2"/>
        <v>2.0531400966183579E-2</v>
      </c>
      <c r="H7" s="200">
        <f t="shared" si="2"/>
        <v>1.570048309178744E-2</v>
      </c>
      <c r="I7" s="200">
        <f t="shared" si="2"/>
        <v>6.6425120772946877E-2</v>
      </c>
      <c r="J7" s="200">
        <f t="shared" si="2"/>
        <v>6.0386473429951695E-2</v>
      </c>
      <c r="K7" s="200">
        <f t="shared" si="2"/>
        <v>2.8985507246376812E-2</v>
      </c>
      <c r="L7" s="200">
        <f t="shared" si="2"/>
        <v>9.6618357487922718E-3</v>
      </c>
      <c r="M7" s="200">
        <f t="shared" si="2"/>
        <v>9.6618357487922718E-3</v>
      </c>
      <c r="N7" s="200">
        <f t="shared" si="2"/>
        <v>1.9323671497584544E-2</v>
      </c>
      <c r="O7" s="200">
        <f t="shared" si="2"/>
        <v>9.2995169082125614E-2</v>
      </c>
      <c r="P7" s="200">
        <f t="shared" si="2"/>
        <v>9.6618357487922718E-2</v>
      </c>
      <c r="Q7" s="201">
        <f t="shared" si="2"/>
        <v>0.12439613526570049</v>
      </c>
      <c r="U7">
        <v>6</v>
      </c>
      <c r="V7" t="s">
        <v>208</v>
      </c>
      <c r="W7">
        <v>6</v>
      </c>
      <c r="X7" t="s">
        <v>209</v>
      </c>
    </row>
    <row r="8" spans="1:45" ht="13.5" thickBot="1">
      <c r="A8" s="202" t="s">
        <v>210</v>
      </c>
      <c r="B8" s="203">
        <f>B5*B7</f>
        <v>1559.3562801932369</v>
      </c>
      <c r="C8" s="204">
        <f t="shared" ref="C8:Q8" si="3">C5*C7</f>
        <v>3490.6896135265702</v>
      </c>
      <c r="D8" s="204">
        <f t="shared" si="3"/>
        <v>878.45169082125608</v>
      </c>
      <c r="E8" s="204">
        <f t="shared" si="3"/>
        <v>439.22584541062804</v>
      </c>
      <c r="F8" s="204">
        <f t="shared" si="3"/>
        <v>558.90579710144925</v>
      </c>
      <c r="G8" s="204">
        <f t="shared" si="3"/>
        <v>367.94323671497591</v>
      </c>
      <c r="H8" s="204">
        <f t="shared" si="3"/>
        <v>253.39009661835749</v>
      </c>
      <c r="I8" s="204">
        <f t="shared" si="3"/>
        <v>1072.0350241545896</v>
      </c>
      <c r="J8" s="204">
        <f t="shared" si="3"/>
        <v>974.57729468599041</v>
      </c>
      <c r="K8" s="204">
        <f t="shared" si="3"/>
        <v>282.49275362318843</v>
      </c>
      <c r="L8" s="204">
        <f t="shared" si="3"/>
        <v>94.164251207729478</v>
      </c>
      <c r="M8" s="204">
        <f t="shared" si="3"/>
        <v>94.164251207729478</v>
      </c>
      <c r="N8" s="204">
        <f t="shared" si="3"/>
        <v>235.98067632850245</v>
      </c>
      <c r="O8" s="204">
        <f t="shared" si="3"/>
        <v>1135.6570048309179</v>
      </c>
      <c r="P8" s="204">
        <f t="shared" si="3"/>
        <v>891.1111111111112</v>
      </c>
      <c r="Q8" s="205">
        <f t="shared" si="3"/>
        <v>557.54347826086962</v>
      </c>
      <c r="R8" s="206">
        <f>SUM(B8:Q8)</f>
        <v>12885.688405797102</v>
      </c>
      <c r="U8">
        <v>7</v>
      </c>
      <c r="V8" t="s">
        <v>211</v>
      </c>
    </row>
    <row r="9" spans="1:45">
      <c r="A9" s="186" t="s">
        <v>187</v>
      </c>
      <c r="B9" s="671" t="s">
        <v>212</v>
      </c>
      <c r="C9" s="672"/>
      <c r="D9" s="672"/>
      <c r="E9" s="672"/>
      <c r="F9" s="672"/>
      <c r="G9" s="672"/>
      <c r="H9" s="672"/>
      <c r="I9" s="672"/>
      <c r="J9" s="672"/>
      <c r="K9" s="672"/>
      <c r="L9" s="672"/>
      <c r="M9" s="672"/>
      <c r="N9" s="672"/>
      <c r="O9" s="672"/>
      <c r="P9" s="672"/>
      <c r="Q9" s="673"/>
      <c r="U9">
        <v>8</v>
      </c>
      <c r="V9" t="s">
        <v>213</v>
      </c>
    </row>
    <row r="10" spans="1:45" ht="13.5" thickBot="1">
      <c r="A10" s="187">
        <v>0.23</v>
      </c>
      <c r="B10" s="188">
        <v>1</v>
      </c>
      <c r="C10" s="674">
        <v>2</v>
      </c>
      <c r="D10" s="675"/>
      <c r="E10" s="674">
        <v>3</v>
      </c>
      <c r="F10" s="676"/>
      <c r="G10" s="675"/>
      <c r="H10" s="674">
        <v>4</v>
      </c>
      <c r="I10" s="676"/>
      <c r="J10" s="675"/>
      <c r="K10" s="674">
        <v>5</v>
      </c>
      <c r="L10" s="676"/>
      <c r="M10" s="676"/>
      <c r="N10" s="676"/>
      <c r="O10" s="676"/>
      <c r="P10" s="675"/>
      <c r="Q10" s="190">
        <v>6</v>
      </c>
      <c r="U10">
        <v>9</v>
      </c>
      <c r="V10" t="s">
        <v>214</v>
      </c>
    </row>
    <row r="11" spans="1:45">
      <c r="A11" s="191" t="s">
        <v>195</v>
      </c>
      <c r="B11" s="207">
        <f>B13-B12</f>
        <v>3823.8199999999997</v>
      </c>
      <c r="C11" s="677">
        <f>C13-C12</f>
        <v>3107.72</v>
      </c>
      <c r="D11" s="678"/>
      <c r="E11" s="677">
        <f>E13-E12</f>
        <v>3086.16</v>
      </c>
      <c r="F11" s="679"/>
      <c r="G11" s="678"/>
      <c r="H11" s="680">
        <f>H13-H12</f>
        <v>3297.91</v>
      </c>
      <c r="I11" s="680"/>
      <c r="J11" s="680"/>
      <c r="K11" s="680">
        <f>K13-K12</f>
        <v>3157.77</v>
      </c>
      <c r="L11" s="680"/>
      <c r="M11" s="680"/>
      <c r="N11" s="680"/>
      <c r="O11" s="680"/>
      <c r="P11" s="680"/>
      <c r="Q11" s="208">
        <f>Q13-Q12</f>
        <v>3264.8</v>
      </c>
      <c r="U11">
        <v>10</v>
      </c>
      <c r="V11" t="s">
        <v>215</v>
      </c>
    </row>
    <row r="12" spans="1:45">
      <c r="A12" s="193" t="s">
        <v>198</v>
      </c>
      <c r="B12" s="209">
        <f>B13*$A$10</f>
        <v>1142.18</v>
      </c>
      <c r="C12" s="681">
        <f t="shared" ref="C12:H12" si="4">C13*$A$10</f>
        <v>928.28000000000009</v>
      </c>
      <c r="D12" s="682"/>
      <c r="E12" s="681">
        <f t="shared" si="4"/>
        <v>921.84</v>
      </c>
      <c r="F12" s="683"/>
      <c r="G12" s="682"/>
      <c r="H12" s="684">
        <f t="shared" si="4"/>
        <v>985.09</v>
      </c>
      <c r="I12" s="684"/>
      <c r="J12" s="684"/>
      <c r="K12" s="684">
        <f>K13*$A$10</f>
        <v>943.23</v>
      </c>
      <c r="L12" s="684"/>
      <c r="M12" s="684"/>
      <c r="N12" s="684"/>
      <c r="O12" s="684"/>
      <c r="P12" s="684"/>
      <c r="Q12" s="210">
        <f>Q13*$A$10</f>
        <v>975.2</v>
      </c>
      <c r="U12">
        <v>11</v>
      </c>
      <c r="V12" t="s">
        <v>216</v>
      </c>
    </row>
    <row r="13" spans="1:45">
      <c r="A13" s="193" t="s">
        <v>201</v>
      </c>
      <c r="B13" s="209">
        <v>4966</v>
      </c>
      <c r="C13" s="681">
        <v>4036</v>
      </c>
      <c r="D13" s="682"/>
      <c r="E13" s="681">
        <v>4008</v>
      </c>
      <c r="F13" s="683"/>
      <c r="G13" s="682"/>
      <c r="H13" s="684">
        <v>4283</v>
      </c>
      <c r="I13" s="684"/>
      <c r="J13" s="684"/>
      <c r="K13" s="684">
        <v>4101</v>
      </c>
      <c r="L13" s="684"/>
      <c r="M13" s="684"/>
      <c r="N13" s="684"/>
      <c r="O13" s="684"/>
      <c r="P13" s="684"/>
      <c r="Q13" s="210">
        <v>4240</v>
      </c>
      <c r="U13">
        <v>12</v>
      </c>
      <c r="V13" t="s">
        <v>217</v>
      </c>
    </row>
    <row r="14" spans="1:45">
      <c r="A14" s="193" t="s">
        <v>204</v>
      </c>
      <c r="B14" s="211">
        <v>1.56</v>
      </c>
      <c r="C14" s="685">
        <v>1.65</v>
      </c>
      <c r="D14" s="686"/>
      <c r="E14" s="685">
        <v>1.05</v>
      </c>
      <c r="F14" s="687"/>
      <c r="G14" s="686"/>
      <c r="H14" s="688">
        <v>1.38</v>
      </c>
      <c r="I14" s="688"/>
      <c r="J14" s="688"/>
      <c r="K14" s="688">
        <v>1.44</v>
      </c>
      <c r="L14" s="688"/>
      <c r="M14" s="688"/>
      <c r="N14" s="688"/>
      <c r="O14" s="688"/>
      <c r="P14" s="688"/>
      <c r="Q14" s="212">
        <v>1.03</v>
      </c>
      <c r="U14">
        <v>13</v>
      </c>
      <c r="V14" t="s">
        <v>218</v>
      </c>
    </row>
    <row r="15" spans="1:45" ht="13.5" thickBot="1">
      <c r="A15" s="195" t="s">
        <v>207</v>
      </c>
      <c r="B15" s="213">
        <f>B14/(SUM($B$14:$Q$14))</f>
        <v>0.19235511713933418</v>
      </c>
      <c r="C15" s="700">
        <f>C14/(SUM($B$14:$Q$14))</f>
        <v>0.20345252774352651</v>
      </c>
      <c r="D15" s="701"/>
      <c r="E15" s="700">
        <f>E14/(SUM($B$14:$Q$14))</f>
        <v>0.12946979038224415</v>
      </c>
      <c r="F15" s="702"/>
      <c r="G15" s="701"/>
      <c r="H15" s="703">
        <f>H14/(SUM($B$14:$Q$14))</f>
        <v>0.17016029593094945</v>
      </c>
      <c r="I15" s="703"/>
      <c r="J15" s="703"/>
      <c r="K15" s="703">
        <f>K14/(SUM($B$14:$Q$14))</f>
        <v>0.1775585696670777</v>
      </c>
      <c r="L15" s="703"/>
      <c r="M15" s="703"/>
      <c r="N15" s="703"/>
      <c r="O15" s="703"/>
      <c r="P15" s="703"/>
      <c r="Q15" s="214">
        <f>Q14/(SUM($B$14:$Q$14))</f>
        <v>0.12700369913686807</v>
      </c>
      <c r="U15">
        <v>14</v>
      </c>
      <c r="V15" t="s">
        <v>219</v>
      </c>
    </row>
    <row r="16" spans="1:45" ht="13.5" thickBot="1">
      <c r="A16" s="202" t="s">
        <v>210</v>
      </c>
      <c r="B16" s="215">
        <f>B13*B15</f>
        <v>955.23551171393353</v>
      </c>
      <c r="C16" s="704">
        <f>C13*C15</f>
        <v>821.13440197287298</v>
      </c>
      <c r="D16" s="705"/>
      <c r="E16" s="704">
        <f>E13*E15</f>
        <v>518.91491985203459</v>
      </c>
      <c r="F16" s="706"/>
      <c r="G16" s="705"/>
      <c r="H16" s="707">
        <f>H13*H15</f>
        <v>728.79654747225652</v>
      </c>
      <c r="I16" s="707"/>
      <c r="J16" s="707"/>
      <c r="K16" s="707">
        <f>K13*K15</f>
        <v>728.16769420468563</v>
      </c>
      <c r="L16" s="707"/>
      <c r="M16" s="707"/>
      <c r="N16" s="707"/>
      <c r="O16" s="707"/>
      <c r="P16" s="707"/>
      <c r="Q16" s="205">
        <f>Q13*Q15</f>
        <v>538.49568434032062</v>
      </c>
      <c r="R16" s="216">
        <f>SUM(B16:Q16)</f>
        <v>4290.7447595561043</v>
      </c>
      <c r="U16">
        <v>15</v>
      </c>
      <c r="V16" t="s">
        <v>220</v>
      </c>
    </row>
    <row r="17" spans="1:22">
      <c r="A17" s="186" t="s">
        <v>187</v>
      </c>
      <c r="B17" s="689" t="s">
        <v>221</v>
      </c>
      <c r="C17" s="690"/>
      <c r="D17" s="690"/>
      <c r="E17" s="690"/>
      <c r="F17" s="690"/>
      <c r="G17" s="690"/>
      <c r="H17" s="690"/>
      <c r="I17" s="690"/>
      <c r="J17" s="690"/>
      <c r="K17" s="690"/>
      <c r="L17" s="690"/>
      <c r="M17" s="690"/>
      <c r="N17" s="690"/>
      <c r="O17" s="690"/>
      <c r="P17" s="690"/>
      <c r="Q17" s="691"/>
      <c r="U17">
        <v>16</v>
      </c>
      <c r="V17" t="s">
        <v>222</v>
      </c>
    </row>
    <row r="18" spans="1:22" ht="13.5" thickBot="1">
      <c r="A18" s="187">
        <v>0.14000000000000001</v>
      </c>
      <c r="B18" s="188">
        <v>1</v>
      </c>
      <c r="C18" s="189">
        <v>2</v>
      </c>
      <c r="D18" s="189">
        <v>3</v>
      </c>
      <c r="E18" s="189">
        <v>4</v>
      </c>
      <c r="F18" s="189">
        <v>5</v>
      </c>
      <c r="G18" s="189">
        <v>6</v>
      </c>
      <c r="H18" s="189">
        <v>7</v>
      </c>
      <c r="I18" s="189">
        <v>8</v>
      </c>
      <c r="J18" s="189">
        <v>9</v>
      </c>
      <c r="K18" s="189">
        <v>10</v>
      </c>
      <c r="L18" s="189">
        <v>11</v>
      </c>
      <c r="M18" s="189">
        <v>12</v>
      </c>
      <c r="N18" s="189">
        <v>13</v>
      </c>
      <c r="O18" s="189">
        <v>14</v>
      </c>
      <c r="P18" s="189">
        <v>15</v>
      </c>
      <c r="Q18" s="217">
        <v>16</v>
      </c>
    </row>
    <row r="19" spans="1:22">
      <c r="A19" s="191" t="s">
        <v>195</v>
      </c>
      <c r="B19" s="207">
        <f>B21-B20</f>
        <v>4551.12</v>
      </c>
      <c r="C19" s="218">
        <f t="shared" ref="C19:P19" si="5">C21-C20</f>
        <v>11207.52</v>
      </c>
      <c r="D19" s="218">
        <f t="shared" si="5"/>
        <v>11207.52</v>
      </c>
      <c r="E19" s="218">
        <f t="shared" si="5"/>
        <v>11207.52</v>
      </c>
      <c r="F19" s="218">
        <f t="shared" si="5"/>
        <v>10802.46</v>
      </c>
      <c r="G19" s="218">
        <f t="shared" si="5"/>
        <v>10350.1</v>
      </c>
      <c r="H19" s="218">
        <f t="shared" si="5"/>
        <v>9083.32</v>
      </c>
      <c r="I19" s="218">
        <f t="shared" si="5"/>
        <v>9083.32</v>
      </c>
      <c r="J19" s="218">
        <f t="shared" si="5"/>
        <v>9083.32</v>
      </c>
      <c r="K19" s="218">
        <f t="shared" si="5"/>
        <v>5741.36</v>
      </c>
      <c r="L19" s="218">
        <f t="shared" si="5"/>
        <v>5741.36</v>
      </c>
      <c r="M19" s="218">
        <f t="shared" si="5"/>
        <v>5741.36</v>
      </c>
      <c r="N19" s="218">
        <f t="shared" si="5"/>
        <v>6983.2</v>
      </c>
      <c r="O19" s="218">
        <f t="shared" si="5"/>
        <v>6983.2</v>
      </c>
      <c r="P19" s="219">
        <f t="shared" si="5"/>
        <v>4035.98</v>
      </c>
      <c r="Q19" s="692"/>
    </row>
    <row r="20" spans="1:22">
      <c r="A20" s="193" t="s">
        <v>198</v>
      </c>
      <c r="B20" s="209">
        <f>B21*$A$18</f>
        <v>740.88000000000011</v>
      </c>
      <c r="C20" s="194">
        <f t="shared" ref="C20:P20" si="6">C21*$A$18</f>
        <v>1824.4800000000002</v>
      </c>
      <c r="D20" s="194">
        <f t="shared" si="6"/>
        <v>1824.4800000000002</v>
      </c>
      <c r="E20" s="194">
        <f t="shared" si="6"/>
        <v>1824.4800000000002</v>
      </c>
      <c r="F20" s="194">
        <f t="shared" si="6"/>
        <v>1758.5400000000002</v>
      </c>
      <c r="G20" s="194">
        <f t="shared" si="6"/>
        <v>1684.9</v>
      </c>
      <c r="H20" s="194">
        <f t="shared" si="6"/>
        <v>1478.68</v>
      </c>
      <c r="I20" s="194">
        <f t="shared" si="6"/>
        <v>1478.68</v>
      </c>
      <c r="J20" s="194">
        <f t="shared" si="6"/>
        <v>1478.68</v>
      </c>
      <c r="K20" s="194">
        <f t="shared" si="6"/>
        <v>934.6400000000001</v>
      </c>
      <c r="L20" s="194">
        <f t="shared" si="6"/>
        <v>934.6400000000001</v>
      </c>
      <c r="M20" s="194">
        <f t="shared" si="6"/>
        <v>934.6400000000001</v>
      </c>
      <c r="N20" s="194">
        <f t="shared" si="6"/>
        <v>1136.8000000000002</v>
      </c>
      <c r="O20" s="194">
        <f t="shared" si="6"/>
        <v>1136.8000000000002</v>
      </c>
      <c r="P20" s="220">
        <f t="shared" si="6"/>
        <v>657.0200000000001</v>
      </c>
      <c r="Q20" s="693"/>
    </row>
    <row r="21" spans="1:22">
      <c r="A21" s="195" t="s">
        <v>201</v>
      </c>
      <c r="B21" s="221">
        <v>5292</v>
      </c>
      <c r="C21" s="196">
        <v>13032</v>
      </c>
      <c r="D21" s="196">
        <v>13032</v>
      </c>
      <c r="E21" s="196">
        <v>13032</v>
      </c>
      <c r="F21" s="196">
        <v>12561</v>
      </c>
      <c r="G21" s="196">
        <v>12035</v>
      </c>
      <c r="H21" s="196">
        <v>10562</v>
      </c>
      <c r="I21" s="196">
        <v>10562</v>
      </c>
      <c r="J21" s="196">
        <v>10562</v>
      </c>
      <c r="K21" s="196">
        <v>6676</v>
      </c>
      <c r="L21" s="196">
        <v>6676</v>
      </c>
      <c r="M21" s="196">
        <v>6676</v>
      </c>
      <c r="N21" s="196">
        <v>8120</v>
      </c>
      <c r="O21" s="196">
        <v>8120</v>
      </c>
      <c r="P21" s="197">
        <v>4693</v>
      </c>
      <c r="Q21" s="693"/>
    </row>
    <row r="22" spans="1:22">
      <c r="A22" s="193" t="s">
        <v>204</v>
      </c>
      <c r="B22" s="211">
        <v>1.43</v>
      </c>
      <c r="C22" s="222">
        <v>1.51</v>
      </c>
      <c r="D22" s="222">
        <v>0.38</v>
      </c>
      <c r="E22" s="222">
        <v>0.19</v>
      </c>
      <c r="F22" s="222">
        <v>0.26</v>
      </c>
      <c r="G22" s="222">
        <v>0.17</v>
      </c>
      <c r="H22" s="222">
        <v>0.13</v>
      </c>
      <c r="I22" s="222">
        <v>0.55000000000000004</v>
      </c>
      <c r="J22" s="222">
        <v>0.5</v>
      </c>
      <c r="K22" s="222">
        <v>0.24</v>
      </c>
      <c r="L22" s="222">
        <v>0.08</v>
      </c>
      <c r="M22" s="222">
        <v>0.08</v>
      </c>
      <c r="N22" s="222">
        <v>0.16</v>
      </c>
      <c r="O22" s="222">
        <v>0.77</v>
      </c>
      <c r="P22" s="223">
        <v>0.8</v>
      </c>
      <c r="Q22" s="693"/>
    </row>
    <row r="23" spans="1:22" ht="13.5" thickBot="1">
      <c r="A23" s="195" t="s">
        <v>207</v>
      </c>
      <c r="B23" s="224">
        <f>B22/SUM($B$22:$P$22)</f>
        <v>0.19724137931034486</v>
      </c>
      <c r="C23" s="199">
        <f t="shared" ref="C23:P23" si="7">C22/SUM($B$22:$P$22)</f>
        <v>0.20827586206896553</v>
      </c>
      <c r="D23" s="199">
        <f t="shared" si="7"/>
        <v>5.2413793103448285E-2</v>
      </c>
      <c r="E23" s="199">
        <f t="shared" si="7"/>
        <v>2.6206896551724142E-2</v>
      </c>
      <c r="F23" s="199">
        <f t="shared" si="7"/>
        <v>3.5862068965517246E-2</v>
      </c>
      <c r="G23" s="199">
        <f t="shared" si="7"/>
        <v>2.3448275862068969E-2</v>
      </c>
      <c r="H23" s="199">
        <f t="shared" si="7"/>
        <v>1.7931034482758623E-2</v>
      </c>
      <c r="I23" s="199">
        <f t="shared" si="7"/>
        <v>7.5862068965517254E-2</v>
      </c>
      <c r="J23" s="199">
        <f t="shared" si="7"/>
        <v>6.8965517241379323E-2</v>
      </c>
      <c r="K23" s="199">
        <f t="shared" si="7"/>
        <v>3.310344827586207E-2</v>
      </c>
      <c r="L23" s="199">
        <f t="shared" si="7"/>
        <v>1.1034482758620691E-2</v>
      </c>
      <c r="M23" s="199">
        <f t="shared" si="7"/>
        <v>1.1034482758620691E-2</v>
      </c>
      <c r="N23" s="199">
        <f t="shared" si="7"/>
        <v>2.2068965517241381E-2</v>
      </c>
      <c r="O23" s="199">
        <f t="shared" si="7"/>
        <v>0.10620689655172415</v>
      </c>
      <c r="P23" s="200">
        <f t="shared" si="7"/>
        <v>0.11034482758620692</v>
      </c>
      <c r="Q23" s="693"/>
    </row>
    <row r="24" spans="1:22" ht="13.5" thickBot="1">
      <c r="A24" s="202" t="s">
        <v>210</v>
      </c>
      <c r="B24" s="215">
        <f>B21*B23</f>
        <v>1043.8013793103451</v>
      </c>
      <c r="C24" s="204">
        <f t="shared" ref="C24:P24" si="8">C21*C23</f>
        <v>2714.2510344827588</v>
      </c>
      <c r="D24" s="204">
        <f t="shared" si="8"/>
        <v>683.0565517241381</v>
      </c>
      <c r="E24" s="204">
        <f t="shared" si="8"/>
        <v>341.52827586206905</v>
      </c>
      <c r="F24" s="204">
        <f t="shared" si="8"/>
        <v>450.46344827586211</v>
      </c>
      <c r="G24" s="204">
        <f t="shared" si="8"/>
        <v>282.20000000000005</v>
      </c>
      <c r="H24" s="204">
        <f t="shared" si="8"/>
        <v>189.38758620689657</v>
      </c>
      <c r="I24" s="204">
        <f t="shared" si="8"/>
        <v>801.25517241379328</v>
      </c>
      <c r="J24" s="204">
        <f t="shared" si="8"/>
        <v>728.41379310344837</v>
      </c>
      <c r="K24" s="204">
        <f t="shared" si="8"/>
        <v>220.99862068965518</v>
      </c>
      <c r="L24" s="204">
        <f t="shared" si="8"/>
        <v>73.666206896551728</v>
      </c>
      <c r="M24" s="204">
        <f t="shared" si="8"/>
        <v>73.666206896551728</v>
      </c>
      <c r="N24" s="204">
        <f t="shared" si="8"/>
        <v>179.20000000000002</v>
      </c>
      <c r="O24" s="204">
        <f t="shared" si="8"/>
        <v>862.40000000000009</v>
      </c>
      <c r="P24" s="204">
        <f t="shared" si="8"/>
        <v>517.84827586206904</v>
      </c>
      <c r="Q24" s="694"/>
      <c r="R24" s="206">
        <f>SUM(B24:P24)</f>
        <v>9162.1365517241375</v>
      </c>
    </row>
    <row r="26" spans="1:22" ht="13.5" thickBot="1"/>
    <row r="27" spans="1:22">
      <c r="C27" s="695" t="s">
        <v>223</v>
      </c>
      <c r="D27" s="696"/>
      <c r="E27" s="696"/>
      <c r="F27" s="697"/>
    </row>
    <row r="28" spans="1:22" ht="13.5" thickBot="1">
      <c r="C28" s="225"/>
      <c r="D28" s="226" t="s">
        <v>224</v>
      </c>
      <c r="E28" s="698" t="s">
        <v>106</v>
      </c>
      <c r="F28" s="699"/>
    </row>
    <row r="29" spans="1:22">
      <c r="A29" s="227" t="s">
        <v>225</v>
      </c>
      <c r="B29" s="228">
        <v>1.6E-2</v>
      </c>
      <c r="C29" s="229" t="s">
        <v>76</v>
      </c>
      <c r="D29" s="572" t="s">
        <v>226</v>
      </c>
      <c r="E29" s="230" t="s">
        <v>226</v>
      </c>
      <c r="F29" s="231" t="s">
        <v>227</v>
      </c>
    </row>
    <row r="30" spans="1:22" ht="13.5" thickBot="1">
      <c r="A30" s="225" t="s">
        <v>228</v>
      </c>
      <c r="B30" s="232">
        <v>8.9999999999999993E-3</v>
      </c>
      <c r="C30" s="233">
        <v>2017</v>
      </c>
      <c r="D30" s="171">
        <f>R8</f>
        <v>12885.688405797102</v>
      </c>
      <c r="E30" s="171">
        <f>R24</f>
        <v>9162.1365517241375</v>
      </c>
      <c r="F30" s="234">
        <f>R16</f>
        <v>4290.7447595561043</v>
      </c>
    </row>
    <row r="31" spans="1:22">
      <c r="C31" s="233">
        <v>2018</v>
      </c>
      <c r="D31" s="176">
        <f t="shared" ref="D31:D47" si="9">D30*(1+$B$29)</f>
        <v>13091.859420289857</v>
      </c>
      <c r="E31" s="176">
        <f t="shared" ref="E31:F46" si="10">E30*(1+$B$29)</f>
        <v>9308.7307365517245</v>
      </c>
      <c r="F31" s="235">
        <f t="shared" si="10"/>
        <v>4359.396675709002</v>
      </c>
    </row>
    <row r="32" spans="1:22">
      <c r="C32" s="233">
        <v>2019</v>
      </c>
      <c r="D32" s="176">
        <f t="shared" si="9"/>
        <v>13301.329171014495</v>
      </c>
      <c r="E32" s="176">
        <f t="shared" si="10"/>
        <v>9457.6704283365525</v>
      </c>
      <c r="F32" s="235">
        <f t="shared" si="10"/>
        <v>4429.1470225203457</v>
      </c>
    </row>
    <row r="33" spans="3:6">
      <c r="C33" s="233">
        <v>2020</v>
      </c>
      <c r="D33" s="176">
        <f t="shared" si="9"/>
        <v>13514.150437750726</v>
      </c>
      <c r="E33" s="176">
        <f t="shared" si="10"/>
        <v>9608.9931551899372</v>
      </c>
      <c r="F33" s="235">
        <f t="shared" si="10"/>
        <v>4500.0133748806711</v>
      </c>
    </row>
    <row r="34" spans="3:6">
      <c r="C34" s="233">
        <v>2021</v>
      </c>
      <c r="D34" s="176">
        <f t="shared" si="9"/>
        <v>13730.376844754737</v>
      </c>
      <c r="E34" s="176">
        <f t="shared" si="10"/>
        <v>9762.7370456729768</v>
      </c>
      <c r="F34" s="235">
        <f t="shared" si="10"/>
        <v>4572.0135888787618</v>
      </c>
    </row>
    <row r="35" spans="3:6">
      <c r="C35" s="233">
        <v>2022</v>
      </c>
      <c r="D35" s="176">
        <f t="shared" si="9"/>
        <v>13950.062874270814</v>
      </c>
      <c r="E35" s="176">
        <f t="shared" si="10"/>
        <v>9918.9408384037451</v>
      </c>
      <c r="F35" s="235">
        <f t="shared" si="10"/>
        <v>4645.1658063008217</v>
      </c>
    </row>
    <row r="36" spans="3:6">
      <c r="C36" s="233">
        <v>2023</v>
      </c>
      <c r="D36" s="176">
        <f t="shared" si="9"/>
        <v>14173.263880259146</v>
      </c>
      <c r="E36" s="176">
        <f t="shared" si="10"/>
        <v>10077.643891818205</v>
      </c>
      <c r="F36" s="235">
        <f t="shared" si="10"/>
        <v>4719.4884592016351</v>
      </c>
    </row>
    <row r="37" spans="3:6">
      <c r="C37" s="233">
        <v>2024</v>
      </c>
      <c r="D37" s="176">
        <f t="shared" si="9"/>
        <v>14400.036102343292</v>
      </c>
      <c r="E37" s="176">
        <f t="shared" si="10"/>
        <v>10238.886194087296</v>
      </c>
      <c r="F37" s="235">
        <f t="shared" si="10"/>
        <v>4795.0002745488609</v>
      </c>
    </row>
    <row r="38" spans="3:6">
      <c r="C38" s="236">
        <v>2025</v>
      </c>
      <c r="D38" s="237">
        <f t="shared" si="9"/>
        <v>14630.436679980785</v>
      </c>
      <c r="E38" s="237">
        <f t="shared" si="10"/>
        <v>10402.708373192692</v>
      </c>
      <c r="F38" s="238">
        <f t="shared" si="10"/>
        <v>4871.7202789416424</v>
      </c>
    </row>
    <row r="39" spans="3:6">
      <c r="C39" s="233">
        <v>2026</v>
      </c>
      <c r="D39" s="176">
        <f t="shared" si="9"/>
        <v>14864.523666860478</v>
      </c>
      <c r="E39" s="176">
        <f t="shared" si="10"/>
        <v>10569.151707163775</v>
      </c>
      <c r="F39" s="235">
        <f t="shared" si="10"/>
        <v>4949.667803404709</v>
      </c>
    </row>
    <row r="40" spans="3:6">
      <c r="C40" s="233">
        <v>2027</v>
      </c>
      <c r="D40" s="176">
        <f t="shared" si="9"/>
        <v>15102.356045530245</v>
      </c>
      <c r="E40" s="176">
        <f t="shared" si="10"/>
        <v>10738.258134478396</v>
      </c>
      <c r="F40" s="235">
        <f t="shared" si="10"/>
        <v>5028.8624882591848</v>
      </c>
    </row>
    <row r="41" spans="3:6">
      <c r="C41" s="233">
        <v>2028</v>
      </c>
      <c r="D41" s="176">
        <f t="shared" si="9"/>
        <v>15343.99374225873</v>
      </c>
      <c r="E41" s="176">
        <f t="shared" si="10"/>
        <v>10910.070264630051</v>
      </c>
      <c r="F41" s="235">
        <f t="shared" si="10"/>
        <v>5109.3242880713315</v>
      </c>
    </row>
    <row r="42" spans="3:6">
      <c r="C42" s="233">
        <v>2029</v>
      </c>
      <c r="D42" s="176">
        <f t="shared" si="9"/>
        <v>15589.497642134869</v>
      </c>
      <c r="E42" s="176">
        <f t="shared" si="10"/>
        <v>11084.631388864131</v>
      </c>
      <c r="F42" s="235">
        <f t="shared" si="10"/>
        <v>5191.0734766804726</v>
      </c>
    </row>
    <row r="43" spans="3:6">
      <c r="C43" s="233">
        <v>2030</v>
      </c>
      <c r="D43" s="176">
        <f t="shared" si="9"/>
        <v>15838.929604409028</v>
      </c>
      <c r="E43" s="176">
        <f t="shared" si="10"/>
        <v>11261.985491085958</v>
      </c>
      <c r="F43" s="235">
        <f t="shared" si="10"/>
        <v>5274.1306523073599</v>
      </c>
    </row>
    <row r="44" spans="3:6">
      <c r="C44" s="233">
        <v>2031</v>
      </c>
      <c r="D44" s="176">
        <f t="shared" si="9"/>
        <v>16092.352478079572</v>
      </c>
      <c r="E44" s="176">
        <f t="shared" si="10"/>
        <v>11442.177258943333</v>
      </c>
      <c r="F44" s="235">
        <f t="shared" si="10"/>
        <v>5358.5167427442775</v>
      </c>
    </row>
    <row r="45" spans="3:6">
      <c r="C45" s="233">
        <v>2032</v>
      </c>
      <c r="D45" s="176">
        <f t="shared" si="9"/>
        <v>16349.830117728845</v>
      </c>
      <c r="E45" s="176">
        <f t="shared" si="10"/>
        <v>11625.252095086427</v>
      </c>
      <c r="F45" s="235">
        <f t="shared" si="10"/>
        <v>5444.2530106281856</v>
      </c>
    </row>
    <row r="46" spans="3:6">
      <c r="C46" s="233">
        <v>2033</v>
      </c>
      <c r="D46" s="176">
        <f t="shared" si="9"/>
        <v>16611.427399612508</v>
      </c>
      <c r="E46" s="176">
        <f t="shared" si="10"/>
        <v>11811.256128607811</v>
      </c>
      <c r="F46" s="235">
        <f t="shared" si="10"/>
        <v>5531.3610587982366</v>
      </c>
    </row>
    <row r="47" spans="3:6">
      <c r="C47" s="233">
        <v>2034</v>
      </c>
      <c r="D47" s="176">
        <f t="shared" si="9"/>
        <v>16877.210238006308</v>
      </c>
      <c r="E47" s="176">
        <f>E46*(1+$B$29)</f>
        <v>12000.236226665536</v>
      </c>
      <c r="F47" s="235">
        <f>F46*(1+$B$29)</f>
        <v>5619.8628357390089</v>
      </c>
    </row>
    <row r="48" spans="3:6">
      <c r="C48" s="233">
        <v>2035</v>
      </c>
      <c r="D48" s="176">
        <f t="shared" ref="D48:F53" si="11">D47*(1+$B$29)</f>
        <v>17147.245601814408</v>
      </c>
      <c r="E48" s="176">
        <f t="shared" si="11"/>
        <v>12192.240006292184</v>
      </c>
      <c r="F48" s="235">
        <f t="shared" si="11"/>
        <v>5709.7806411108331</v>
      </c>
    </row>
    <row r="49" spans="3:6">
      <c r="C49" s="233">
        <v>2036</v>
      </c>
      <c r="D49" s="176">
        <f t="shared" si="11"/>
        <v>17421.601531443437</v>
      </c>
      <c r="E49" s="176">
        <f t="shared" si="11"/>
        <v>12387.315846392859</v>
      </c>
      <c r="F49" s="235">
        <f t="shared" si="11"/>
        <v>5801.1371313686068</v>
      </c>
    </row>
    <row r="50" spans="3:6">
      <c r="C50" s="233">
        <v>2037</v>
      </c>
      <c r="D50" s="176">
        <f t="shared" si="11"/>
        <v>17700.347155946532</v>
      </c>
      <c r="E50" s="176">
        <f t="shared" si="11"/>
        <v>12585.512899935145</v>
      </c>
      <c r="F50" s="235">
        <f t="shared" si="11"/>
        <v>5893.9553254705042</v>
      </c>
    </row>
    <row r="51" spans="3:6">
      <c r="C51" s="233">
        <v>2038</v>
      </c>
      <c r="D51" s="176">
        <f t="shared" si="11"/>
        <v>17983.552710441676</v>
      </c>
      <c r="E51" s="176">
        <f t="shared" si="11"/>
        <v>12786.881106334107</v>
      </c>
      <c r="F51" s="235">
        <f t="shared" si="11"/>
        <v>5988.2586106780327</v>
      </c>
    </row>
    <row r="52" spans="3:6">
      <c r="C52" s="233">
        <v>2039</v>
      </c>
      <c r="D52" s="176">
        <f t="shared" si="11"/>
        <v>18271.289553808743</v>
      </c>
      <c r="E52" s="176">
        <f t="shared" si="11"/>
        <v>12991.471204035453</v>
      </c>
      <c r="F52" s="235">
        <f t="shared" si="11"/>
        <v>6084.0707484488812</v>
      </c>
    </row>
    <row r="53" spans="3:6" ht="13.5" thickBot="1">
      <c r="C53" s="239">
        <v>2040</v>
      </c>
      <c r="D53" s="240">
        <f t="shared" si="11"/>
        <v>18563.630186669685</v>
      </c>
      <c r="E53" s="240">
        <f t="shared" si="11"/>
        <v>13199.334743300022</v>
      </c>
      <c r="F53" s="241">
        <f t="shared" si="11"/>
        <v>6181.4158804240633</v>
      </c>
    </row>
    <row r="54" spans="3:6">
      <c r="C54" s="229">
        <v>2041</v>
      </c>
      <c r="D54" s="242">
        <f>D53*(1+$B$30)</f>
        <v>18730.702858349709</v>
      </c>
      <c r="E54" s="242">
        <f>E53*(1+$B$30)</f>
        <v>13318.128755989721</v>
      </c>
      <c r="F54" s="243">
        <f t="shared" ref="E54:F68" si="12">F53*(1+$B$30)</f>
        <v>6237.0486233478796</v>
      </c>
    </row>
    <row r="55" spans="3:6">
      <c r="C55" s="233">
        <v>2042</v>
      </c>
      <c r="D55" s="176">
        <f t="shared" ref="D55:D68" si="13">D54*(1+$B$30)</f>
        <v>18899.279184074854</v>
      </c>
      <c r="E55" s="176">
        <f t="shared" si="12"/>
        <v>13437.991914793627</v>
      </c>
      <c r="F55" s="235">
        <f t="shared" si="12"/>
        <v>6293.18206095801</v>
      </c>
    </row>
    <row r="56" spans="3:6">
      <c r="C56" s="233">
        <v>2043</v>
      </c>
      <c r="D56" s="176">
        <f t="shared" si="13"/>
        <v>19069.372696731527</v>
      </c>
      <c r="E56" s="176">
        <f t="shared" si="12"/>
        <v>13558.933842026769</v>
      </c>
      <c r="F56" s="235">
        <f t="shared" si="12"/>
        <v>6349.8206995066312</v>
      </c>
    </row>
    <row r="57" spans="3:6">
      <c r="C57" s="233">
        <v>2044</v>
      </c>
      <c r="D57" s="176">
        <f t="shared" si="13"/>
        <v>19240.997051002108</v>
      </c>
      <c r="E57" s="176">
        <f t="shared" si="12"/>
        <v>13680.964246605008</v>
      </c>
      <c r="F57" s="235">
        <f t="shared" si="12"/>
        <v>6406.9690858021904</v>
      </c>
    </row>
    <row r="58" spans="3:6">
      <c r="C58" s="236">
        <v>2045</v>
      </c>
      <c r="D58" s="237">
        <f t="shared" si="13"/>
        <v>19414.166024461127</v>
      </c>
      <c r="E58" s="237">
        <f t="shared" si="12"/>
        <v>13804.092924824452</v>
      </c>
      <c r="F58" s="238">
        <f t="shared" si="12"/>
        <v>6464.6318075744093</v>
      </c>
    </row>
    <row r="59" spans="3:6">
      <c r="C59" s="233">
        <v>2046</v>
      </c>
      <c r="D59" s="176">
        <f t="shared" si="13"/>
        <v>19588.893518681274</v>
      </c>
      <c r="E59" s="176">
        <f t="shared" si="12"/>
        <v>13928.32976114787</v>
      </c>
      <c r="F59" s="235">
        <f t="shared" si="12"/>
        <v>6522.8134938425783</v>
      </c>
    </row>
    <row r="60" spans="3:6">
      <c r="C60" s="233">
        <v>2047</v>
      </c>
      <c r="D60" s="176">
        <f t="shared" si="13"/>
        <v>19765.193560349402</v>
      </c>
      <c r="E60" s="176">
        <f t="shared" si="12"/>
        <v>14053.6847289982</v>
      </c>
      <c r="F60" s="235">
        <f t="shared" si="12"/>
        <v>6581.5188152871606</v>
      </c>
    </row>
    <row r="61" spans="3:6">
      <c r="C61" s="233">
        <v>2048</v>
      </c>
      <c r="D61" s="176">
        <f t="shared" si="13"/>
        <v>19943.080302392544</v>
      </c>
      <c r="E61" s="176">
        <f t="shared" si="12"/>
        <v>14180.167891559182</v>
      </c>
      <c r="F61" s="235">
        <f t="shared" si="12"/>
        <v>6640.7524846247443</v>
      </c>
    </row>
    <row r="62" spans="3:6">
      <c r="C62" s="233">
        <v>2049</v>
      </c>
      <c r="D62" s="176">
        <f t="shared" si="13"/>
        <v>20122.568025114073</v>
      </c>
      <c r="E62" s="176">
        <f t="shared" si="12"/>
        <v>14307.789402583214</v>
      </c>
      <c r="F62" s="235">
        <f t="shared" si="12"/>
        <v>6700.5192569863666</v>
      </c>
    </row>
    <row r="63" spans="3:6">
      <c r="C63" s="233">
        <v>2050</v>
      </c>
      <c r="D63" s="176">
        <f t="shared" si="13"/>
        <v>20303.671137340098</v>
      </c>
      <c r="E63" s="176">
        <f t="shared" si="12"/>
        <v>14436.559507206461</v>
      </c>
      <c r="F63" s="235">
        <f t="shared" si="12"/>
        <v>6760.8239302992433</v>
      </c>
    </row>
    <row r="64" spans="3:6">
      <c r="C64" s="233">
        <v>2051</v>
      </c>
      <c r="D64" s="176">
        <f t="shared" si="13"/>
        <v>20486.404177576158</v>
      </c>
      <c r="E64" s="176">
        <f t="shared" si="12"/>
        <v>14566.488542771318</v>
      </c>
      <c r="F64" s="235">
        <f t="shared" si="12"/>
        <v>6821.6713456719363</v>
      </c>
    </row>
    <row r="65" spans="3:6">
      <c r="C65" s="233">
        <v>2052</v>
      </c>
      <c r="D65" s="176">
        <f t="shared" si="13"/>
        <v>20670.781815174341</v>
      </c>
      <c r="E65" s="176">
        <f t="shared" si="12"/>
        <v>14697.586939656258</v>
      </c>
      <c r="F65" s="235">
        <f t="shared" si="12"/>
        <v>6883.0663877829829</v>
      </c>
    </row>
    <row r="66" spans="3:6">
      <c r="C66" s="233">
        <v>2053</v>
      </c>
      <c r="D66" s="176">
        <f t="shared" si="13"/>
        <v>20856.818851510907</v>
      </c>
      <c r="E66" s="176">
        <f t="shared" si="12"/>
        <v>14829.865222113162</v>
      </c>
      <c r="F66" s="235">
        <f t="shared" si="12"/>
        <v>6945.013985273029</v>
      </c>
    </row>
    <row r="67" spans="3:6">
      <c r="C67" s="233">
        <v>2054</v>
      </c>
      <c r="D67" s="176">
        <f t="shared" si="13"/>
        <v>21044.530221174504</v>
      </c>
      <c r="E67" s="176">
        <f t="shared" si="12"/>
        <v>14963.334009112179</v>
      </c>
      <c r="F67" s="235">
        <f t="shared" si="12"/>
        <v>7007.5191111404856</v>
      </c>
    </row>
    <row r="68" spans="3:6" ht="13.5" thickBot="1">
      <c r="C68" s="244">
        <v>2055</v>
      </c>
      <c r="D68" s="245">
        <f t="shared" si="13"/>
        <v>21233.930993165071</v>
      </c>
      <c r="E68" s="245">
        <f t="shared" si="12"/>
        <v>15098.004015194187</v>
      </c>
      <c r="F68" s="246">
        <f t="shared" si="12"/>
        <v>7070.5867831407495</v>
      </c>
    </row>
  </sheetData>
  <mergeCells count="34">
    <mergeCell ref="B17:Q17"/>
    <mergeCell ref="Q19:Q24"/>
    <mergeCell ref="C27:F27"/>
    <mergeCell ref="E28:F28"/>
    <mergeCell ref="C15:D15"/>
    <mergeCell ref="E15:G15"/>
    <mergeCell ref="H15:J15"/>
    <mergeCell ref="K15:P15"/>
    <mergeCell ref="C16:D16"/>
    <mergeCell ref="E16:G16"/>
    <mergeCell ref="H16:J16"/>
    <mergeCell ref="K16:P16"/>
    <mergeCell ref="C13:D13"/>
    <mergeCell ref="E13:G13"/>
    <mergeCell ref="H13:J13"/>
    <mergeCell ref="K13:P13"/>
    <mergeCell ref="C14:D14"/>
    <mergeCell ref="E14:G14"/>
    <mergeCell ref="H14:J14"/>
    <mergeCell ref="K14:P14"/>
    <mergeCell ref="C11:D11"/>
    <mergeCell ref="E11:G11"/>
    <mergeCell ref="H11:J11"/>
    <mergeCell ref="K11:P11"/>
    <mergeCell ref="C12:D12"/>
    <mergeCell ref="E12:G12"/>
    <mergeCell ref="H12:J12"/>
    <mergeCell ref="K12:P12"/>
    <mergeCell ref="B1:Q1"/>
    <mergeCell ref="B9:Q9"/>
    <mergeCell ref="C10:D10"/>
    <mergeCell ref="E10:G10"/>
    <mergeCell ref="H10:J10"/>
    <mergeCell ref="K10:P10"/>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0E7E-1C20-4F7D-997A-499E536222AC}">
  <sheetPr>
    <tabColor rgb="FFFFC000"/>
  </sheetPr>
  <dimension ref="A1:AM95"/>
  <sheetViews>
    <sheetView zoomScale="70" zoomScaleNormal="70" workbookViewId="0">
      <selection activeCell="I7" sqref="I7"/>
    </sheetView>
  </sheetViews>
  <sheetFormatPr defaultRowHeight="12.75"/>
  <cols>
    <col min="1" max="1" width="24.42578125" bestFit="1" customWidth="1"/>
    <col min="2" max="3" width="8.7109375" customWidth="1"/>
    <col min="4" max="4" width="13.7109375" bestFit="1" customWidth="1"/>
    <col min="5" max="5" width="10.5703125" customWidth="1"/>
    <col min="6" max="6" width="18.85546875" bestFit="1" customWidth="1"/>
    <col min="7" max="21" width="8.7109375" customWidth="1"/>
    <col min="22" max="22" width="16.85546875" bestFit="1" customWidth="1"/>
    <col min="23" max="23" width="10.85546875" customWidth="1"/>
    <col min="24" max="24" width="11.28515625" customWidth="1"/>
    <col min="25" max="25" width="10.5703125" customWidth="1"/>
    <col min="26" max="26" width="8.28515625" bestFit="1" customWidth="1"/>
    <col min="28" max="28" width="8.7109375" bestFit="1" customWidth="1"/>
  </cols>
  <sheetData>
    <row r="1" spans="1:39" ht="13.5" thickBot="1">
      <c r="C1" s="247" t="s">
        <v>229</v>
      </c>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row>
    <row r="2" spans="1:39">
      <c r="C2" s="710" t="s">
        <v>223</v>
      </c>
      <c r="D2" s="696"/>
      <c r="E2" s="696"/>
      <c r="F2" s="696"/>
      <c r="G2" s="711" t="s">
        <v>230</v>
      </c>
      <c r="H2" s="690"/>
      <c r="I2" s="690"/>
      <c r="J2" s="690"/>
      <c r="K2" s="690"/>
      <c r="L2" s="690"/>
      <c r="M2" s="690"/>
      <c r="N2" s="690"/>
      <c r="O2" s="690"/>
      <c r="P2" s="690"/>
      <c r="Q2" s="690"/>
      <c r="R2" s="690"/>
      <c r="S2" s="690" t="s">
        <v>231</v>
      </c>
      <c r="T2" s="690"/>
      <c r="U2" s="249"/>
      <c r="V2" s="710" t="s">
        <v>232</v>
      </c>
      <c r="W2" s="696"/>
      <c r="X2" s="696"/>
      <c r="Y2" s="712"/>
      <c r="Z2" s="711" t="s">
        <v>230</v>
      </c>
      <c r="AA2" s="690"/>
      <c r="AB2" s="690"/>
      <c r="AC2" s="690"/>
      <c r="AD2" s="690"/>
      <c r="AE2" s="690"/>
      <c r="AF2" s="690"/>
      <c r="AG2" s="690"/>
      <c r="AH2" s="690"/>
      <c r="AI2" s="690"/>
      <c r="AJ2" s="690"/>
      <c r="AK2" s="690"/>
      <c r="AL2" s="690" t="s">
        <v>231</v>
      </c>
      <c r="AM2" s="690"/>
    </row>
    <row r="3" spans="1:39" ht="13.5" thickBot="1">
      <c r="D3" s="715" t="s">
        <v>233</v>
      </c>
      <c r="E3" s="716"/>
      <c r="F3" s="716"/>
      <c r="G3" s="708" t="s">
        <v>234</v>
      </c>
      <c r="H3" s="709"/>
      <c r="I3" s="708" t="s">
        <v>235</v>
      </c>
      <c r="J3" s="709"/>
      <c r="K3" s="708" t="s">
        <v>236</v>
      </c>
      <c r="L3" s="709"/>
      <c r="M3" s="708" t="s">
        <v>237</v>
      </c>
      <c r="N3" s="709"/>
      <c r="O3" s="708" t="s">
        <v>238</v>
      </c>
      <c r="P3" s="709"/>
      <c r="Q3" s="708" t="s">
        <v>239</v>
      </c>
      <c r="R3" s="708"/>
      <c r="S3" s="708" t="s">
        <v>239</v>
      </c>
      <c r="T3" s="708"/>
      <c r="U3" s="4"/>
      <c r="V3" s="250"/>
      <c r="W3" s="708" t="s">
        <v>233</v>
      </c>
      <c r="X3" s="708"/>
      <c r="Y3" s="708"/>
      <c r="Z3" s="708" t="s">
        <v>234</v>
      </c>
      <c r="AA3" s="709"/>
      <c r="AB3" s="708" t="s">
        <v>235</v>
      </c>
      <c r="AC3" s="709"/>
      <c r="AD3" s="708" t="s">
        <v>236</v>
      </c>
      <c r="AE3" s="709"/>
      <c r="AF3" s="708" t="s">
        <v>237</v>
      </c>
      <c r="AG3" s="709"/>
      <c r="AH3" s="708" t="s">
        <v>238</v>
      </c>
      <c r="AI3" s="709"/>
      <c r="AJ3" s="708" t="s">
        <v>239</v>
      </c>
      <c r="AK3" s="708"/>
      <c r="AL3" s="708" t="s">
        <v>239</v>
      </c>
      <c r="AM3" s="708"/>
    </row>
    <row r="4" spans="1:39" ht="25.5">
      <c r="A4" s="227" t="s">
        <v>225</v>
      </c>
      <c r="B4" s="251">
        <v>1.6E-2</v>
      </c>
      <c r="C4" s="575" t="s">
        <v>76</v>
      </c>
      <c r="D4" s="574" t="s">
        <v>51</v>
      </c>
      <c r="E4" s="573" t="s">
        <v>240</v>
      </c>
      <c r="F4" s="573" t="s">
        <v>171</v>
      </c>
      <c r="G4" s="252" t="s">
        <v>241</v>
      </c>
      <c r="H4" s="252" t="s">
        <v>242</v>
      </c>
      <c r="I4" s="252" t="s">
        <v>243</v>
      </c>
      <c r="J4" s="252" t="s">
        <v>244</v>
      </c>
      <c r="K4" s="252" t="s">
        <v>245</v>
      </c>
      <c r="L4" s="252" t="s">
        <v>246</v>
      </c>
      <c r="M4" s="252" t="s">
        <v>247</v>
      </c>
      <c r="N4" s="252" t="s">
        <v>248</v>
      </c>
      <c r="O4" s="252" t="s">
        <v>249</v>
      </c>
      <c r="P4" s="252" t="s">
        <v>250</v>
      </c>
      <c r="Q4" s="252" t="s">
        <v>240</v>
      </c>
      <c r="R4" s="253" t="s">
        <v>171</v>
      </c>
      <c r="S4" s="252" t="s">
        <v>240</v>
      </c>
      <c r="T4" s="252" t="s">
        <v>171</v>
      </c>
      <c r="U4" s="252"/>
      <c r="V4" s="573" t="s">
        <v>76</v>
      </c>
      <c r="W4" s="574" t="s">
        <v>51</v>
      </c>
      <c r="X4" s="573" t="s">
        <v>240</v>
      </c>
      <c r="Y4" s="573" t="s">
        <v>171</v>
      </c>
      <c r="Z4" s="252" t="s">
        <v>241</v>
      </c>
      <c r="AA4" s="252" t="s">
        <v>242</v>
      </c>
      <c r="AB4" s="252" t="s">
        <v>243</v>
      </c>
      <c r="AC4" s="252" t="s">
        <v>244</v>
      </c>
      <c r="AD4" s="252" t="s">
        <v>245</v>
      </c>
      <c r="AE4" s="252" t="s">
        <v>246</v>
      </c>
      <c r="AF4" s="252" t="s">
        <v>247</v>
      </c>
      <c r="AG4" s="252" t="s">
        <v>248</v>
      </c>
      <c r="AH4" s="252" t="s">
        <v>249</v>
      </c>
      <c r="AI4" s="252" t="s">
        <v>250</v>
      </c>
      <c r="AJ4" s="252" t="s">
        <v>240</v>
      </c>
      <c r="AK4" s="253" t="s">
        <v>171</v>
      </c>
      <c r="AL4" s="252" t="s">
        <v>240</v>
      </c>
      <c r="AM4" s="252" t="s">
        <v>171</v>
      </c>
    </row>
    <row r="5" spans="1:39" ht="13.5" thickBot="1">
      <c r="A5" s="225" t="s">
        <v>228</v>
      </c>
      <c r="B5" s="254">
        <v>8.9999999999999993E-3</v>
      </c>
      <c r="C5" s="575">
        <v>2017</v>
      </c>
      <c r="D5" s="171">
        <f>'[4]Segment AADTs'!N5</f>
        <v>12212</v>
      </c>
      <c r="E5" s="171">
        <f>D5-F5</f>
        <v>10135.959999999999</v>
      </c>
      <c r="F5" s="171">
        <f>'[4]Segment AADTs'!N4</f>
        <v>2076.04</v>
      </c>
      <c r="G5" s="255">
        <f>E5/(24)</f>
        <v>422.33166666666665</v>
      </c>
      <c r="H5" s="255">
        <f>F5/(24)</f>
        <v>86.501666666666665</v>
      </c>
      <c r="I5" s="256">
        <f>1800*0.45</f>
        <v>810</v>
      </c>
      <c r="J5" s="256">
        <f>900*0.45</f>
        <v>405</v>
      </c>
      <c r="K5" s="257">
        <f>('[4]EC - Travel Time - Roadway'!$D$74/60)</f>
        <v>0.99776500638569621</v>
      </c>
      <c r="L5" s="257">
        <f>('[4]EC - Travel Time - Roadway'!$D$74/60)</f>
        <v>0.99776500638569621</v>
      </c>
      <c r="M5" s="256">
        <f>G5*(K5)</f>
        <v>421.38775808854837</v>
      </c>
      <c r="N5" s="256">
        <f>H5*(L5)</f>
        <v>86.308335994040036</v>
      </c>
      <c r="O5" s="257">
        <f>M5/(I5-G5)</f>
        <v>1.0869800854387084</v>
      </c>
      <c r="P5" s="257">
        <f>N5/(J5-H5)</f>
        <v>0.27098520450878349</v>
      </c>
      <c r="Q5" s="258">
        <f>0.5*K5*G5*(K5+O5)</f>
        <v>439.24303021499543</v>
      </c>
      <c r="R5" s="259">
        <f>0.5*L5*H5*(L5+P5)</f>
        <v>54.751859747194956</v>
      </c>
      <c r="S5" s="260">
        <f>Q5*365</f>
        <v>160323.70602847333</v>
      </c>
      <c r="T5" s="255">
        <f>R5*365</f>
        <v>19984.428807726159</v>
      </c>
      <c r="U5" s="261"/>
      <c r="V5" s="575">
        <v>2017</v>
      </c>
      <c r="W5" s="171">
        <f>'[4]Segment AADTs'!P5</f>
        <v>9223</v>
      </c>
      <c r="X5" s="171">
        <f>W5-Y5</f>
        <v>7655.09</v>
      </c>
      <c r="Y5" s="171">
        <f>'[4]Segment AADTs'!P4</f>
        <v>1567.91</v>
      </c>
      <c r="Z5" s="255">
        <f>X5/(24)</f>
        <v>318.96208333333334</v>
      </c>
      <c r="AA5" s="255">
        <f>Y5/(24)</f>
        <v>65.329583333333332</v>
      </c>
      <c r="AB5" s="256">
        <f>1800*0.45</f>
        <v>810</v>
      </c>
      <c r="AC5" s="256">
        <f>900*0.45</f>
        <v>405</v>
      </c>
      <c r="AD5" s="257">
        <f>('[4]EC - Travel Time - Roadway'!$D$74/60)</f>
        <v>0.99776500638569621</v>
      </c>
      <c r="AE5" s="257">
        <f>('[4]EC - Travel Time - Roadway'!$D$74/60)</f>
        <v>0.99776500638569621</v>
      </c>
      <c r="AF5" s="256">
        <f>Z5*(AD5)</f>
        <v>318.2492051138783</v>
      </c>
      <c r="AG5" s="256">
        <f>AA5*(AE5)</f>
        <v>65.183572131758211</v>
      </c>
      <c r="AH5" s="257">
        <f>AF5/(AB5-Z5)</f>
        <v>0.64811533755735762</v>
      </c>
      <c r="AI5" s="257">
        <f>AG5/(AC5-AA5)</f>
        <v>0.191902411671387</v>
      </c>
      <c r="AJ5" s="256">
        <f>0.5*AD5*Z5*(AD5+AH5)</f>
        <v>261.90005558621675</v>
      </c>
      <c r="AK5" s="256">
        <f>0.5*AE5*AA5*(AE5+AI5)</f>
        <v>38.773385978863217</v>
      </c>
      <c r="AL5" s="260">
        <f>AJ5*365</f>
        <v>95593.520288969114</v>
      </c>
      <c r="AM5" s="255">
        <f>AK5*365</f>
        <v>14152.285882285074</v>
      </c>
    </row>
    <row r="6" spans="1:39">
      <c r="C6" s="573">
        <v>2018</v>
      </c>
      <c r="D6" s="176">
        <f>D5*(1+$B$4)</f>
        <v>12407.392</v>
      </c>
      <c r="E6" s="176">
        <f>D6-F6</f>
        <v>10298.13536</v>
      </c>
      <c r="F6" s="176">
        <f>F5*(1+$B$4)</f>
        <v>2109.2566400000001</v>
      </c>
      <c r="G6" s="255">
        <f>E6/(24)</f>
        <v>429.08897333333334</v>
      </c>
      <c r="H6" s="255">
        <f>F6/(24)</f>
        <v>87.885693333333336</v>
      </c>
      <c r="I6" s="256">
        <f t="shared" ref="I6:I43" si="0">1800*0.45</f>
        <v>810</v>
      </c>
      <c r="J6" s="256">
        <f t="shared" ref="J6:J43" si="1">900*0.45</f>
        <v>405</v>
      </c>
      <c r="K6" s="257">
        <f>('[4]EC - Travel Time - Roadway'!$D$74/60)</f>
        <v>0.99776500638569621</v>
      </c>
      <c r="L6" s="257">
        <f>('[4]EC - Travel Time - Roadway'!$D$74/60)</f>
        <v>0.99776500638569621</v>
      </c>
      <c r="M6" s="256">
        <f t="shared" ref="M6:N43" si="2">G6*(K6)</f>
        <v>428.12996221796516</v>
      </c>
      <c r="N6" s="256">
        <f t="shared" si="2"/>
        <v>87.689269369944668</v>
      </c>
      <c r="O6" s="257">
        <f t="shared" ref="O6:P43" si="3">M6/(I6-G6)</f>
        <v>1.1239631626432793</v>
      </c>
      <c r="P6" s="257">
        <f t="shared" si="3"/>
        <v>0.27652258988781248</v>
      </c>
      <c r="Q6" s="258">
        <f t="shared" ref="Q6:R43" si="4">0.5*K6*G6*(K6+O6)</f>
        <v>454.18770042158388</v>
      </c>
      <c r="R6" s="259">
        <f t="shared" si="4"/>
        <v>55.870674142203505</v>
      </c>
      <c r="S6" s="255">
        <f t="shared" ref="S6:T43" si="5">Q6*365</f>
        <v>165778.51065387813</v>
      </c>
      <c r="T6" s="255">
        <f t="shared" si="5"/>
        <v>20392.796061904279</v>
      </c>
      <c r="U6" s="255"/>
      <c r="V6" s="573">
        <v>2018</v>
      </c>
      <c r="W6" s="176">
        <f t="shared" ref="W6:W28" si="6">W5*(1+$B$4)</f>
        <v>9370.5679999999993</v>
      </c>
      <c r="X6" s="176">
        <f t="shared" ref="X6:X43" si="7">W6-Y6</f>
        <v>7777.5714399999997</v>
      </c>
      <c r="Y6" s="176">
        <f>Y5*(1+$B$4)</f>
        <v>1592.99656</v>
      </c>
      <c r="Z6" s="255">
        <f>X6/(24)</f>
        <v>324.06547666666665</v>
      </c>
      <c r="AA6" s="255">
        <f>Y6/(24)</f>
        <v>66.374856666666673</v>
      </c>
      <c r="AB6" s="256">
        <f t="shared" ref="AB6:AB43" si="8">1800*0.45</f>
        <v>810</v>
      </c>
      <c r="AC6" s="256">
        <f t="shared" ref="AC6:AC43" si="9">900*0.45</f>
        <v>405</v>
      </c>
      <c r="AD6" s="257">
        <f>('[4]EC - Travel Time - Roadway'!$D$74/60)</f>
        <v>0.99776500638569621</v>
      </c>
      <c r="AE6" s="257">
        <f>('[4]EC - Travel Time - Roadway'!$D$74/60)</f>
        <v>0.99776500638569621</v>
      </c>
      <c r="AF6" s="256">
        <f t="shared" ref="AF6:AG43" si="10">Z6*(AD6)</f>
        <v>323.34119239570032</v>
      </c>
      <c r="AG6" s="256">
        <f t="shared" si="10"/>
        <v>66.226509285866342</v>
      </c>
      <c r="AH6" s="257">
        <f t="shared" ref="AH6:AI43" si="11">AF6/(AB6-Z6)</f>
        <v>0.66540074201293176</v>
      </c>
      <c r="AI6" s="257">
        <f t="shared" si="11"/>
        <v>0.19557469546989539</v>
      </c>
      <c r="AJ6" s="256">
        <f t="shared" ref="AJ6:AK43" si="12">0.5*AD6*Z6*(AD6+AH6)</f>
        <v>268.88499811944985</v>
      </c>
      <c r="AK6" s="262">
        <f t="shared" si="12"/>
        <v>39.515361423066153</v>
      </c>
      <c r="AL6" s="255">
        <f t="shared" ref="AL6:AM43" si="13">AJ6*365</f>
        <v>98143.024313599191</v>
      </c>
      <c r="AM6" s="255">
        <f t="shared" si="13"/>
        <v>14423.106919419146</v>
      </c>
    </row>
    <row r="7" spans="1:39">
      <c r="C7" s="573">
        <v>2019</v>
      </c>
      <c r="D7" s="176">
        <f t="shared" ref="D7:D28" si="14">D6*(1+$B$4)</f>
        <v>12605.910271999999</v>
      </c>
      <c r="E7" s="176">
        <f t="shared" ref="E7:E43" si="15">D7-F7</f>
        <v>10462.905525759999</v>
      </c>
      <c r="F7" s="176">
        <f>F6*(1+$B$4)</f>
        <v>2143.0047462400003</v>
      </c>
      <c r="G7" s="255">
        <f t="shared" ref="G7:H43" si="16">E7/(24)</f>
        <v>435.95439690666666</v>
      </c>
      <c r="H7" s="255">
        <f t="shared" si="16"/>
        <v>89.291864426666677</v>
      </c>
      <c r="I7" s="256">
        <f t="shared" si="0"/>
        <v>810</v>
      </c>
      <c r="J7" s="256">
        <f t="shared" si="1"/>
        <v>405</v>
      </c>
      <c r="K7" s="257">
        <f>('[4]EC - Travel Time - Roadway'!$D$74/60)</f>
        <v>0.99776500638569621</v>
      </c>
      <c r="L7" s="257">
        <f>('[4]EC - Travel Time - Roadway'!$D$74/60)</f>
        <v>0.99776500638569621</v>
      </c>
      <c r="M7" s="256">
        <f t="shared" si="2"/>
        <v>434.98004161345261</v>
      </c>
      <c r="N7" s="256">
        <f t="shared" si="2"/>
        <v>89.09229767986379</v>
      </c>
      <c r="O7" s="257">
        <f t="shared" si="3"/>
        <v>1.1629064424663607</v>
      </c>
      <c r="P7" s="257">
        <f t="shared" si="3"/>
        <v>0.28219829532764529</v>
      </c>
      <c r="Q7" s="258">
        <f t="shared" si="4"/>
        <v>469.92447836733328</v>
      </c>
      <c r="R7" s="259">
        <f t="shared" si="4"/>
        <v>57.017435747773163</v>
      </c>
      <c r="S7" s="255">
        <f t="shared" si="5"/>
        <v>171522.43460407664</v>
      </c>
      <c r="T7" s="255">
        <f t="shared" si="5"/>
        <v>20811.364047937204</v>
      </c>
      <c r="U7" s="255"/>
      <c r="V7" s="573">
        <v>2019</v>
      </c>
      <c r="W7" s="176">
        <f t="shared" si="6"/>
        <v>9520.4970880000001</v>
      </c>
      <c r="X7" s="176">
        <f t="shared" si="7"/>
        <v>7902.0125830400002</v>
      </c>
      <c r="Y7" s="176">
        <f t="shared" ref="Y7:Y28" si="17">Y6*(1+$B$4)</f>
        <v>1618.4845049600001</v>
      </c>
      <c r="Z7" s="255">
        <f t="shared" ref="Z7:AA43" si="18">X7/(24)</f>
        <v>329.25052429333334</v>
      </c>
      <c r="AA7" s="255">
        <f t="shared" si="18"/>
        <v>67.436854373333333</v>
      </c>
      <c r="AB7" s="256">
        <f t="shared" si="8"/>
        <v>810</v>
      </c>
      <c r="AC7" s="256">
        <f t="shared" si="9"/>
        <v>405</v>
      </c>
      <c r="AD7" s="257">
        <f>('[4]EC - Travel Time - Roadway'!$D$74/60)</f>
        <v>0.99776500638569621</v>
      </c>
      <c r="AE7" s="257">
        <f>('[4]EC - Travel Time - Roadway'!$D$74/60)</f>
        <v>0.99776500638569621</v>
      </c>
      <c r="AF7" s="256">
        <f t="shared" si="10"/>
        <v>328.51465147403155</v>
      </c>
      <c r="AG7" s="256">
        <f t="shared" si="10"/>
        <v>67.286133434440202</v>
      </c>
      <c r="AH7" s="257">
        <f t="shared" si="11"/>
        <v>0.68333855380942221</v>
      </c>
      <c r="AI7" s="257">
        <f t="shared" si="11"/>
        <v>0.19932902719438567</v>
      </c>
      <c r="AJ7" s="256">
        <f t="shared" si="12"/>
        <v>276.1335750846265</v>
      </c>
      <c r="AK7" s="262">
        <f t="shared" si="12"/>
        <v>40.273914438520819</v>
      </c>
      <c r="AL7" s="255">
        <f t="shared" si="13"/>
        <v>100788.75490588867</v>
      </c>
      <c r="AM7" s="255">
        <f t="shared" si="13"/>
        <v>14699.978770060099</v>
      </c>
    </row>
    <row r="8" spans="1:39">
      <c r="C8" s="573">
        <v>2020</v>
      </c>
      <c r="D8" s="176">
        <f t="shared" si="14"/>
        <v>12807.604836351999</v>
      </c>
      <c r="E8" s="176">
        <f t="shared" si="15"/>
        <v>10630.312014172159</v>
      </c>
      <c r="F8" s="176">
        <f>F7*(1+$B$4)</f>
        <v>2177.2928221798402</v>
      </c>
      <c r="G8" s="255">
        <f t="shared" si="16"/>
        <v>442.92966725717332</v>
      </c>
      <c r="H8" s="255">
        <f t="shared" si="16"/>
        <v>90.720534257493341</v>
      </c>
      <c r="I8" s="256">
        <f t="shared" si="0"/>
        <v>810</v>
      </c>
      <c r="J8" s="256">
        <f t="shared" si="1"/>
        <v>405</v>
      </c>
      <c r="K8" s="257">
        <f>('[4]EC - Travel Time - Roadway'!$D$74/60)</f>
        <v>0.99776500638569621</v>
      </c>
      <c r="L8" s="257">
        <f>('[4]EC - Travel Time - Roadway'!$D$74/60)</f>
        <v>0.99776500638569621</v>
      </c>
      <c r="M8" s="256">
        <f t="shared" si="2"/>
        <v>441.93972227926781</v>
      </c>
      <c r="N8" s="256">
        <f t="shared" si="2"/>
        <v>90.517774442741612</v>
      </c>
      <c r="O8" s="257">
        <f t="shared" si="3"/>
        <v>1.2039646979285994</v>
      </c>
      <c r="P8" s="257">
        <f t="shared" si="3"/>
        <v>0.28801682677195345</v>
      </c>
      <c r="Q8" s="258">
        <f t="shared" si="4"/>
        <v>486.51590702933714</v>
      </c>
      <c r="R8" s="259">
        <f t="shared" si="4"/>
        <v>58.193054978169478</v>
      </c>
      <c r="S8" s="255">
        <f t="shared" si="5"/>
        <v>177578.30606570805</v>
      </c>
      <c r="T8" s="255">
        <f t="shared" si="5"/>
        <v>21240.465067031859</v>
      </c>
      <c r="U8" s="255"/>
      <c r="V8" s="573">
        <v>2020</v>
      </c>
      <c r="W8" s="176">
        <f t="shared" si="6"/>
        <v>9672.8250414079994</v>
      </c>
      <c r="X8" s="176">
        <f t="shared" si="7"/>
        <v>8028.4447843686394</v>
      </c>
      <c r="Y8" s="176">
        <f t="shared" si="17"/>
        <v>1644.3802570393602</v>
      </c>
      <c r="Z8" s="255">
        <f t="shared" si="18"/>
        <v>334.51853268202666</v>
      </c>
      <c r="AA8" s="255">
        <f t="shared" si="18"/>
        <v>68.515844043306672</v>
      </c>
      <c r="AB8" s="256">
        <f t="shared" si="8"/>
        <v>810</v>
      </c>
      <c r="AC8" s="256">
        <f t="shared" si="9"/>
        <v>405</v>
      </c>
      <c r="AD8" s="257">
        <f>('[4]EC - Travel Time - Roadway'!$D$74/60)</f>
        <v>0.99776500638569621</v>
      </c>
      <c r="AE8" s="257">
        <f>('[4]EC - Travel Time - Roadway'!$D$74/60)</f>
        <v>0.99776500638569621</v>
      </c>
      <c r="AF8" s="256">
        <f t="shared" si="10"/>
        <v>333.77088589761604</v>
      </c>
      <c r="AG8" s="256">
        <f t="shared" si="10"/>
        <v>68.362711569391251</v>
      </c>
      <c r="AH8" s="257">
        <f t="shared" si="11"/>
        <v>0.70196402770501709</v>
      </c>
      <c r="AI8" s="257">
        <f t="shared" si="11"/>
        <v>0.20316769856524766</v>
      </c>
      <c r="AJ8" s="256">
        <f t="shared" si="12"/>
        <v>283.66003274717832</v>
      </c>
      <c r="AK8" s="262">
        <f t="shared" si="12"/>
        <v>41.049508061405113</v>
      </c>
      <c r="AL8" s="255">
        <f t="shared" si="13"/>
        <v>103535.91195272008</v>
      </c>
      <c r="AM8" s="255">
        <f t="shared" si="13"/>
        <v>14983.070442412867</v>
      </c>
    </row>
    <row r="9" spans="1:39">
      <c r="C9" s="573">
        <v>2021</v>
      </c>
      <c r="D9" s="176">
        <f t="shared" si="14"/>
        <v>13012.52651373363</v>
      </c>
      <c r="E9" s="176">
        <f t="shared" si="15"/>
        <v>10800.397006398913</v>
      </c>
      <c r="F9" s="176">
        <f t="shared" ref="F9:F28" si="19">F8*(1+$B$4)</f>
        <v>2212.1295073347178</v>
      </c>
      <c r="G9" s="255">
        <f t="shared" si="16"/>
        <v>450.01654193328801</v>
      </c>
      <c r="H9" s="255">
        <f t="shared" si="16"/>
        <v>92.172062805613237</v>
      </c>
      <c r="I9" s="256">
        <f t="shared" si="0"/>
        <v>810</v>
      </c>
      <c r="J9" s="256">
        <f t="shared" si="1"/>
        <v>405</v>
      </c>
      <c r="K9" s="257">
        <f>('[4]EC - Travel Time - Roadway'!$D$74/60)</f>
        <v>0.99776500638569621</v>
      </c>
      <c r="L9" s="257">
        <f>('[4]EC - Travel Time - Roadway'!$D$74/60)</f>
        <v>0.99776500638569621</v>
      </c>
      <c r="M9" s="256">
        <f t="shared" si="2"/>
        <v>449.01075783573606</v>
      </c>
      <c r="N9" s="256">
        <f t="shared" si="2"/>
        <v>91.966058833825485</v>
      </c>
      <c r="O9" s="257">
        <f t="shared" si="3"/>
        <v>1.2473094187359175</v>
      </c>
      <c r="P9" s="257">
        <f t="shared" si="3"/>
        <v>0.29398288291841113</v>
      </c>
      <c r="Q9" s="258">
        <f t="shared" si="4"/>
        <v>504.03128451074264</v>
      </c>
      <c r="R9" s="259">
        <f t="shared" si="4"/>
        <v>59.39848119310571</v>
      </c>
      <c r="S9" s="255">
        <f t="shared" si="5"/>
        <v>183971.41884642106</v>
      </c>
      <c r="T9" s="255">
        <f t="shared" si="5"/>
        <v>21680.445635483586</v>
      </c>
      <c r="U9" s="255"/>
      <c r="V9" s="573">
        <v>2021</v>
      </c>
      <c r="W9" s="176">
        <f t="shared" si="6"/>
        <v>9827.5902420705279</v>
      </c>
      <c r="X9" s="176">
        <f t="shared" si="7"/>
        <v>8156.8999009185382</v>
      </c>
      <c r="Y9" s="176">
        <f t="shared" si="17"/>
        <v>1670.69034115199</v>
      </c>
      <c r="Z9" s="255">
        <f t="shared" si="18"/>
        <v>339.87082920493907</v>
      </c>
      <c r="AA9" s="255">
        <f t="shared" si="18"/>
        <v>69.612097547999582</v>
      </c>
      <c r="AB9" s="256">
        <f t="shared" si="8"/>
        <v>810</v>
      </c>
      <c r="AC9" s="256">
        <f t="shared" si="9"/>
        <v>405</v>
      </c>
      <c r="AD9" s="257">
        <f>('[4]EC - Travel Time - Roadway'!$D$74/60)</f>
        <v>0.99776500638569621</v>
      </c>
      <c r="AE9" s="257">
        <f>('[4]EC - Travel Time - Roadway'!$D$74/60)</f>
        <v>0.99776500638569621</v>
      </c>
      <c r="AF9" s="256">
        <f t="shared" si="10"/>
        <v>339.11122007197787</v>
      </c>
      <c r="AG9" s="256">
        <f t="shared" si="10"/>
        <v>69.456514954501515</v>
      </c>
      <c r="AH9" s="257">
        <f t="shared" si="11"/>
        <v>0.72131499412914224</v>
      </c>
      <c r="AI9" s="257">
        <f t="shared" si="11"/>
        <v>0.20709308370012511</v>
      </c>
      <c r="AJ9" s="256">
        <f t="shared" si="12"/>
        <v>291.4796581879616</v>
      </c>
      <c r="AK9" s="262">
        <f t="shared" si="12"/>
        <v>41.842621976048989</v>
      </c>
      <c r="AL9" s="255">
        <f t="shared" si="13"/>
        <v>106390.07523860599</v>
      </c>
      <c r="AM9" s="255">
        <f t="shared" si="13"/>
        <v>15272.55702125788</v>
      </c>
    </row>
    <row r="10" spans="1:39">
      <c r="C10" s="573">
        <v>2022</v>
      </c>
      <c r="D10" s="176">
        <f t="shared" si="14"/>
        <v>13220.726937953368</v>
      </c>
      <c r="E10" s="176">
        <f t="shared" si="15"/>
        <v>10973.203358501294</v>
      </c>
      <c r="F10" s="176">
        <f t="shared" si="19"/>
        <v>2247.5235794520731</v>
      </c>
      <c r="G10" s="255">
        <f t="shared" si="16"/>
        <v>457.21680660422061</v>
      </c>
      <c r="H10" s="255">
        <f t="shared" si="16"/>
        <v>93.646815810503043</v>
      </c>
      <c r="I10" s="256">
        <f t="shared" si="0"/>
        <v>810</v>
      </c>
      <c r="J10" s="256">
        <f t="shared" si="1"/>
        <v>405</v>
      </c>
      <c r="K10" s="257">
        <f>('[4]EC - Travel Time - Roadway'!$D$74/60)</f>
        <v>0.99776500638569621</v>
      </c>
      <c r="L10" s="257">
        <f>('[4]EC - Travel Time - Roadway'!$D$74/60)</f>
        <v>0.99776500638569621</v>
      </c>
      <c r="M10" s="256">
        <f t="shared" si="2"/>
        <v>456.19492996110779</v>
      </c>
      <c r="N10" s="256">
        <f t="shared" si="2"/>
        <v>93.437515775166688</v>
      </c>
      <c r="O10" s="257">
        <f t="shared" si="3"/>
        <v>1.2931311312478344</v>
      </c>
      <c r="P10" s="257">
        <f t="shared" si="3"/>
        <v>0.30010136565135748</v>
      </c>
      <c r="Q10" s="258">
        <f t="shared" si="4"/>
        <v>522.54760152795041</v>
      </c>
      <c r="R10" s="259">
        <f t="shared" si="4"/>
        <v>60.634704805635273</v>
      </c>
      <c r="S10" s="255">
        <f t="shared" si="5"/>
        <v>190729.8745577019</v>
      </c>
      <c r="T10" s="255">
        <f t="shared" si="5"/>
        <v>22131.667254056876</v>
      </c>
      <c r="U10" s="255"/>
      <c r="V10" s="573">
        <v>2022</v>
      </c>
      <c r="W10" s="176">
        <f t="shared" si="6"/>
        <v>9984.8316859436563</v>
      </c>
      <c r="X10" s="176">
        <f t="shared" si="7"/>
        <v>8287.4102993332344</v>
      </c>
      <c r="Y10" s="176">
        <f t="shared" si="17"/>
        <v>1697.4213866104219</v>
      </c>
      <c r="Z10" s="255">
        <f t="shared" si="18"/>
        <v>345.30876247221812</v>
      </c>
      <c r="AA10" s="255">
        <f t="shared" si="18"/>
        <v>70.725891108767584</v>
      </c>
      <c r="AB10" s="256">
        <f t="shared" si="8"/>
        <v>810</v>
      </c>
      <c r="AC10" s="256">
        <f t="shared" si="9"/>
        <v>405</v>
      </c>
      <c r="AD10" s="257">
        <f>('[4]EC - Travel Time - Roadway'!$D$74/60)</f>
        <v>0.99776500638569621</v>
      </c>
      <c r="AE10" s="257">
        <f>('[4]EC - Travel Time - Roadway'!$D$74/60)</f>
        <v>0.99776500638569621</v>
      </c>
      <c r="AF10" s="256">
        <f t="shared" si="10"/>
        <v>344.53699959312956</v>
      </c>
      <c r="AG10" s="256">
        <f t="shared" si="10"/>
        <v>70.567819193773545</v>
      </c>
      <c r="AH10" s="257">
        <f t="shared" si="11"/>
        <v>0.74143209892683026</v>
      </c>
      <c r="AI10" s="257">
        <f t="shared" si="11"/>
        <v>0.21110764284988406</v>
      </c>
      <c r="AJ10" s="256">
        <f t="shared" si="12"/>
        <v>299.60887618271704</v>
      </c>
      <c r="AK10" s="262">
        <f t="shared" si="12"/>
        <v>42.653753269777233</v>
      </c>
      <c r="AL10" s="255">
        <f t="shared" si="13"/>
        <v>109357.23980669172</v>
      </c>
      <c r="AM10" s="255">
        <f t="shared" si="13"/>
        <v>15568.61994346869</v>
      </c>
    </row>
    <row r="11" spans="1:39">
      <c r="C11" s="573">
        <v>2023</v>
      </c>
      <c r="D11" s="176">
        <f t="shared" si="14"/>
        <v>13432.258568960622</v>
      </c>
      <c r="E11" s="176">
        <f t="shared" si="15"/>
        <v>11148.774612237316</v>
      </c>
      <c r="F11" s="176">
        <f t="shared" si="19"/>
        <v>2283.4839567233062</v>
      </c>
      <c r="G11" s="255">
        <f t="shared" si="16"/>
        <v>464.53227550988817</v>
      </c>
      <c r="H11" s="255">
        <f t="shared" si="16"/>
        <v>95.145164863471095</v>
      </c>
      <c r="I11" s="256">
        <f t="shared" si="0"/>
        <v>810</v>
      </c>
      <c r="J11" s="256">
        <f t="shared" si="1"/>
        <v>405</v>
      </c>
      <c r="K11" s="257">
        <f>('[4]EC - Travel Time - Roadway'!$D$74/60)</f>
        <v>0.99776500638569621</v>
      </c>
      <c r="L11" s="257">
        <f>('[4]EC - Travel Time - Roadway'!$D$74/60)</f>
        <v>0.99776500638569621</v>
      </c>
      <c r="M11" s="256">
        <f t="shared" si="2"/>
        <v>463.49404884048556</v>
      </c>
      <c r="N11" s="256">
        <f t="shared" si="2"/>
        <v>94.932516027569349</v>
      </c>
      <c r="O11" s="257">
        <f t="shared" si="3"/>
        <v>1.3416421158433049</v>
      </c>
      <c r="P11" s="257">
        <f t="shared" si="3"/>
        <v>0.30637739116041218</v>
      </c>
      <c r="Q11" s="258">
        <f t="shared" si="4"/>
        <v>542.1506394840942</v>
      </c>
      <c r="R11" s="259">
        <f t="shared" si="4"/>
        <v>61.902759528639329</v>
      </c>
      <c r="S11" s="255">
        <f t="shared" si="5"/>
        <v>197884.98341169438</v>
      </c>
      <c r="T11" s="255">
        <f t="shared" si="5"/>
        <v>22594.507227953356</v>
      </c>
      <c r="U11" s="255"/>
      <c r="V11" s="573">
        <v>2023</v>
      </c>
      <c r="W11" s="176">
        <f t="shared" si="6"/>
        <v>10144.588992918754</v>
      </c>
      <c r="X11" s="176">
        <f t="shared" si="7"/>
        <v>8420.0088641225648</v>
      </c>
      <c r="Y11" s="176">
        <f t="shared" si="17"/>
        <v>1724.5801287961888</v>
      </c>
      <c r="Z11" s="255">
        <f t="shared" si="18"/>
        <v>350.83370267177355</v>
      </c>
      <c r="AA11" s="255">
        <f t="shared" si="18"/>
        <v>71.857505366507866</v>
      </c>
      <c r="AB11" s="256">
        <f t="shared" si="8"/>
        <v>810</v>
      </c>
      <c r="AC11" s="256">
        <f t="shared" si="9"/>
        <v>405</v>
      </c>
      <c r="AD11" s="257">
        <f>('[4]EC - Travel Time - Roadway'!$D$74/60)</f>
        <v>0.99776500638569621</v>
      </c>
      <c r="AE11" s="257">
        <f>('[4]EC - Travel Time - Roadway'!$D$74/60)</f>
        <v>0.99776500638569621</v>
      </c>
      <c r="AF11" s="256">
        <f t="shared" si="10"/>
        <v>350.04959158661956</v>
      </c>
      <c r="AG11" s="256">
        <f t="shared" si="10"/>
        <v>71.696904300873925</v>
      </c>
      <c r="AH11" s="257">
        <f t="shared" si="11"/>
        <v>0.76235907039229656</v>
      </c>
      <c r="AI11" s="257">
        <f t="shared" si="11"/>
        <v>0.21521392634029329</v>
      </c>
      <c r="AJ11" s="256">
        <f t="shared" si="12"/>
        <v>308.06535710895605</v>
      </c>
      <c r="AK11" s="262">
        <f t="shared" si="12"/>
        <v>43.483417229315727</v>
      </c>
      <c r="AL11" s="255">
        <f t="shared" si="13"/>
        <v>112443.85534476896</v>
      </c>
      <c r="AM11" s="255">
        <f t="shared" si="13"/>
        <v>15871.447288700239</v>
      </c>
    </row>
    <row r="12" spans="1:39">
      <c r="C12" s="573">
        <v>2024</v>
      </c>
      <c r="D12" s="176">
        <f t="shared" si="14"/>
        <v>13647.174706063992</v>
      </c>
      <c r="E12" s="176">
        <f t="shared" si="15"/>
        <v>11327.155006033114</v>
      </c>
      <c r="F12" s="176">
        <f t="shared" si="19"/>
        <v>2320.019700030879</v>
      </c>
      <c r="G12" s="255">
        <f t="shared" si="16"/>
        <v>471.96479191804639</v>
      </c>
      <c r="H12" s="255">
        <f t="shared" si="16"/>
        <v>96.667487501286629</v>
      </c>
      <c r="I12" s="256">
        <f t="shared" si="0"/>
        <v>810</v>
      </c>
      <c r="J12" s="256">
        <f t="shared" si="1"/>
        <v>405</v>
      </c>
      <c r="K12" s="257">
        <f>('[4]EC - Travel Time - Roadway'!$D$74/60)</f>
        <v>0.99776500638569621</v>
      </c>
      <c r="L12" s="257">
        <f>('[4]EC - Travel Time - Roadway'!$D$74/60)</f>
        <v>0.99776500638569621</v>
      </c>
      <c r="M12" s="256">
        <f t="shared" si="2"/>
        <v>470.90995362193331</v>
      </c>
      <c r="N12" s="256">
        <f t="shared" si="2"/>
        <v>96.451436284010455</v>
      </c>
      <c r="O12" s="257">
        <f t="shared" si="3"/>
        <v>1.3930796034351707</v>
      </c>
      <c r="P12" s="257">
        <f t="shared" si="3"/>
        <v>0.31281630179825082</v>
      </c>
      <c r="Q12" s="258">
        <f t="shared" si="4"/>
        <v>562.93626216399684</v>
      </c>
      <c r="R12" s="259">
        <f t="shared" si="4"/>
        <v>63.20372477065952</v>
      </c>
      <c r="S12" s="255">
        <f t="shared" si="5"/>
        <v>205471.73568985885</v>
      </c>
      <c r="T12" s="255">
        <f t="shared" si="5"/>
        <v>23069.359541290723</v>
      </c>
      <c r="U12" s="255"/>
      <c r="V12" s="573">
        <v>2024</v>
      </c>
      <c r="W12" s="176">
        <f t="shared" si="6"/>
        <v>10306.902416805455</v>
      </c>
      <c r="X12" s="176">
        <f t="shared" si="7"/>
        <v>8554.7290059485276</v>
      </c>
      <c r="Y12" s="176">
        <f t="shared" si="17"/>
        <v>1752.1734108569278</v>
      </c>
      <c r="Z12" s="255">
        <f t="shared" si="18"/>
        <v>356.447041914522</v>
      </c>
      <c r="AA12" s="255">
        <f t="shared" si="18"/>
        <v>73.007225452371998</v>
      </c>
      <c r="AB12" s="256">
        <f t="shared" si="8"/>
        <v>810</v>
      </c>
      <c r="AC12" s="256">
        <f t="shared" si="9"/>
        <v>405</v>
      </c>
      <c r="AD12" s="257">
        <f>('[4]EC - Travel Time - Roadway'!$D$74/60)</f>
        <v>0.99776500638569621</v>
      </c>
      <c r="AE12" s="257">
        <f>('[4]EC - Travel Time - Roadway'!$D$74/60)</f>
        <v>0.99776500638569621</v>
      </c>
      <c r="AF12" s="256">
        <f t="shared" si="10"/>
        <v>355.65038505200556</v>
      </c>
      <c r="AG12" s="256">
        <f t="shared" si="10"/>
        <v>72.844054769687915</v>
      </c>
      <c r="AH12" s="257">
        <f t="shared" si="11"/>
        <v>0.78414301728570934</v>
      </c>
      <c r="AI12" s="257">
        <f t="shared" si="11"/>
        <v>0.21941457873275985</v>
      </c>
      <c r="AJ12" s="256">
        <f t="shared" si="12"/>
        <v>316.86813737299678</v>
      </c>
      <c r="AK12" s="262">
        <f t="shared" si="12"/>
        <v>44.33214818145742</v>
      </c>
      <c r="AL12" s="255">
        <f t="shared" si="13"/>
        <v>115656.87014114382</v>
      </c>
      <c r="AM12" s="255">
        <f t="shared" si="13"/>
        <v>16181.234086231958</v>
      </c>
    </row>
    <row r="13" spans="1:39">
      <c r="C13" s="263">
        <v>2025</v>
      </c>
      <c r="D13" s="237">
        <f t="shared" si="14"/>
        <v>13865.529501361016</v>
      </c>
      <c r="E13" s="237">
        <f t="shared" si="15"/>
        <v>11508.389486129643</v>
      </c>
      <c r="F13" s="237">
        <f t="shared" si="19"/>
        <v>2357.1400152313731</v>
      </c>
      <c r="G13" s="255">
        <f t="shared" si="16"/>
        <v>479.51622858873515</v>
      </c>
      <c r="H13" s="255">
        <f t="shared" si="16"/>
        <v>98.214167301307214</v>
      </c>
      <c r="I13" s="256">
        <f t="shared" si="0"/>
        <v>810</v>
      </c>
      <c r="J13" s="256">
        <f t="shared" si="1"/>
        <v>405</v>
      </c>
      <c r="K13" s="257">
        <f>('[4]EC - Travel Time - Roadway'!$D$74/60)</f>
        <v>0.99776500638569621</v>
      </c>
      <c r="L13" s="257">
        <f>('[4]EC - Travel Time - Roadway'!$D$74/60)</f>
        <v>0.99776500638569621</v>
      </c>
      <c r="M13" s="256">
        <f t="shared" si="2"/>
        <v>478.44451287988426</v>
      </c>
      <c r="N13" s="256">
        <f t="shared" si="2"/>
        <v>97.994659264554627</v>
      </c>
      <c r="O13" s="257">
        <f t="shared" si="3"/>
        <v>1.4477095526863017</v>
      </c>
      <c r="P13" s="257">
        <f t="shared" si="3"/>
        <v>0.31942367873551475</v>
      </c>
      <c r="Q13" s="264">
        <f t="shared" si="4"/>
        <v>585.01194208767595</v>
      </c>
      <c r="R13" s="265">
        <f t="shared" si="4"/>
        <v>64.538728192789904</v>
      </c>
      <c r="S13" s="266">
        <f t="shared" si="5"/>
        <v>213529.35886200171</v>
      </c>
      <c r="T13" s="266">
        <f t="shared" si="5"/>
        <v>23556.635790368317</v>
      </c>
      <c r="U13" s="266"/>
      <c r="V13" s="263">
        <v>2025</v>
      </c>
      <c r="W13" s="237">
        <f t="shared" si="6"/>
        <v>10471.812855474342</v>
      </c>
      <c r="X13" s="237">
        <f t="shared" si="7"/>
        <v>8691.6046700437037</v>
      </c>
      <c r="Y13" s="237">
        <f t="shared" si="17"/>
        <v>1780.2081854306387</v>
      </c>
      <c r="Z13" s="255">
        <f t="shared" si="18"/>
        <v>362.15019458515434</v>
      </c>
      <c r="AA13" s="255">
        <f t="shared" si="18"/>
        <v>74.175341059609949</v>
      </c>
      <c r="AB13" s="256">
        <f t="shared" si="8"/>
        <v>810</v>
      </c>
      <c r="AC13" s="256">
        <f t="shared" si="9"/>
        <v>405</v>
      </c>
      <c r="AD13" s="257">
        <f>('[4]EC - Travel Time - Roadway'!$D$74/60)</f>
        <v>0.99776500638569621</v>
      </c>
      <c r="AE13" s="257">
        <f>('[4]EC - Travel Time - Roadway'!$D$74/60)</f>
        <v>0.99776500638569621</v>
      </c>
      <c r="AF13" s="256">
        <f t="shared" si="10"/>
        <v>361.34079121283764</v>
      </c>
      <c r="AG13" s="256">
        <f t="shared" si="10"/>
        <v>74.009559646002913</v>
      </c>
      <c r="AH13" s="257">
        <f t="shared" si="11"/>
        <v>0.80683476210986793</v>
      </c>
      <c r="AI13" s="257">
        <f t="shared" si="11"/>
        <v>0.2237123432184612</v>
      </c>
      <c r="AJ13" s="267">
        <f t="shared" si="12"/>
        <v>326.0377540853454</v>
      </c>
      <c r="AK13" s="268">
        <f t="shared" si="12"/>
        <v>45.200500380885217</v>
      </c>
      <c r="AL13" s="266">
        <f t="shared" si="13"/>
        <v>119003.78024115106</v>
      </c>
      <c r="AM13" s="266">
        <f t="shared" si="13"/>
        <v>16498.182639023104</v>
      </c>
    </row>
    <row r="14" spans="1:39">
      <c r="C14" s="573">
        <v>2026</v>
      </c>
      <c r="D14" s="176">
        <f t="shared" si="14"/>
        <v>14087.377973382792</v>
      </c>
      <c r="E14" s="176">
        <f t="shared" si="15"/>
        <v>11692.523717907718</v>
      </c>
      <c r="F14" s="176">
        <f t="shared" si="19"/>
        <v>2394.8542554750752</v>
      </c>
      <c r="G14" s="255">
        <f t="shared" si="16"/>
        <v>487.18848824615492</v>
      </c>
      <c r="H14" s="255">
        <f t="shared" si="16"/>
        <v>99.785593978128134</v>
      </c>
      <c r="I14" s="256">
        <f t="shared" si="0"/>
        <v>810</v>
      </c>
      <c r="J14" s="256">
        <f t="shared" si="1"/>
        <v>405</v>
      </c>
      <c r="K14" s="257">
        <f>('[4]EC - Travel Time - Roadway'!$D$74/60)</f>
        <v>0.99776500638569621</v>
      </c>
      <c r="L14" s="257">
        <f>('[4]EC - Travel Time - Roadway'!$D$74/60)</f>
        <v>0.99776500638569621</v>
      </c>
      <c r="M14" s="256">
        <f t="shared" si="2"/>
        <v>486.09962508596243</v>
      </c>
      <c r="N14" s="256">
        <f t="shared" si="2"/>
        <v>99.562573812787505</v>
      </c>
      <c r="O14" s="257">
        <f t="shared" si="3"/>
        <v>1.5058311348469822</v>
      </c>
      <c r="P14" s="257">
        <f t="shared" si="3"/>
        <v>0.32620535547608714</v>
      </c>
      <c r="Q14" s="258">
        <f t="shared" si="4"/>
        <v>608.49857280993365</v>
      </c>
      <c r="R14" s="259">
        <f t="shared" si="4"/>
        <v>65.908948439403389</v>
      </c>
      <c r="S14" s="255">
        <f t="shared" si="5"/>
        <v>222101.97907562577</v>
      </c>
      <c r="T14" s="255">
        <f t="shared" si="5"/>
        <v>24056.766180382238</v>
      </c>
      <c r="U14" s="255"/>
      <c r="V14" s="573">
        <v>2026</v>
      </c>
      <c r="W14" s="176">
        <f t="shared" si="6"/>
        <v>10639.361861161931</v>
      </c>
      <c r="X14" s="176">
        <f t="shared" si="7"/>
        <v>8830.6703447644031</v>
      </c>
      <c r="Y14" s="176">
        <f t="shared" si="17"/>
        <v>1808.6915163975289</v>
      </c>
      <c r="Z14" s="255">
        <f t="shared" si="18"/>
        <v>367.94459769851682</v>
      </c>
      <c r="AA14" s="255">
        <f t="shared" si="18"/>
        <v>75.362146516563698</v>
      </c>
      <c r="AB14" s="256">
        <f t="shared" si="8"/>
        <v>810</v>
      </c>
      <c r="AC14" s="256">
        <f t="shared" si="9"/>
        <v>405</v>
      </c>
      <c r="AD14" s="257">
        <f>('[4]EC - Travel Time - Roadway'!$D$74/60)</f>
        <v>0.99776500638569621</v>
      </c>
      <c r="AE14" s="257">
        <f>('[4]EC - Travel Time - Roadway'!$D$74/60)</f>
        <v>0.99776500638569621</v>
      </c>
      <c r="AF14" s="256">
        <f t="shared" si="10"/>
        <v>367.12224387224308</v>
      </c>
      <c r="AG14" s="256">
        <f t="shared" si="10"/>
        <v>75.193712600338955</v>
      </c>
      <c r="AH14" s="257">
        <f t="shared" si="11"/>
        <v>0.83048921461175707</v>
      </c>
      <c r="AI14" s="257">
        <f t="shared" si="11"/>
        <v>0.22811006626129879</v>
      </c>
      <c r="AJ14" s="256">
        <f t="shared" si="12"/>
        <v>335.59639599074239</v>
      </c>
      <c r="AK14" s="262">
        <f t="shared" si="12"/>
        <v>46.089048948268889</v>
      </c>
      <c r="AL14" s="255">
        <f t="shared" si="13"/>
        <v>122492.68453662097</v>
      </c>
      <c r="AM14" s="255">
        <f t="shared" si="13"/>
        <v>16822.502866118146</v>
      </c>
    </row>
    <row r="15" spans="1:39">
      <c r="C15" s="573">
        <v>2027</v>
      </c>
      <c r="D15" s="176">
        <f t="shared" si="14"/>
        <v>14312.776020956917</v>
      </c>
      <c r="E15" s="176">
        <f t="shared" si="15"/>
        <v>11879.60409739424</v>
      </c>
      <c r="F15" s="176">
        <f t="shared" si="19"/>
        <v>2433.1719235626765</v>
      </c>
      <c r="G15" s="255">
        <f t="shared" si="16"/>
        <v>494.98350405809333</v>
      </c>
      <c r="H15" s="255">
        <f t="shared" si="16"/>
        <v>101.38216348177819</v>
      </c>
      <c r="I15" s="256">
        <f t="shared" si="0"/>
        <v>810</v>
      </c>
      <c r="J15" s="256">
        <f t="shared" si="1"/>
        <v>405</v>
      </c>
      <c r="K15" s="257">
        <f>('[4]EC - Travel Time - Roadway'!$D$74/60)</f>
        <v>0.99776500638569621</v>
      </c>
      <c r="L15" s="257">
        <f>('[4]EC - Travel Time - Roadway'!$D$74/60)</f>
        <v>0.99776500638569621</v>
      </c>
      <c r="M15" s="256">
        <f t="shared" si="2"/>
        <v>493.87721908733778</v>
      </c>
      <c r="N15" s="256">
        <f t="shared" si="2"/>
        <v>101.15557499379211</v>
      </c>
      <c r="O15" s="257">
        <f t="shared" si="3"/>
        <v>1.5677820858575466</v>
      </c>
      <c r="P15" s="257">
        <f t="shared" si="3"/>
        <v>0.33316743230176205</v>
      </c>
      <c r="Q15" s="258">
        <f t="shared" si="4"/>
        <v>633.53263167734917</v>
      </c>
      <c r="R15" s="259">
        <f t="shared" si="4"/>
        <v>67.315618056659901</v>
      </c>
      <c r="S15" s="255">
        <f t="shared" si="5"/>
        <v>231239.41056223246</v>
      </c>
      <c r="T15" s="255">
        <f t="shared" si="5"/>
        <v>24570.200590680863</v>
      </c>
      <c r="U15" s="255"/>
      <c r="V15" s="573">
        <v>2027</v>
      </c>
      <c r="W15" s="176">
        <f t="shared" si="6"/>
        <v>10809.591650940522</v>
      </c>
      <c r="X15" s="176">
        <f t="shared" si="7"/>
        <v>8971.9610702806312</v>
      </c>
      <c r="Y15" s="176">
        <f t="shared" si="17"/>
        <v>1837.6305806598893</v>
      </c>
      <c r="Z15" s="255">
        <f t="shared" si="18"/>
        <v>373.83171126169299</v>
      </c>
      <c r="AA15" s="255">
        <f t="shared" si="18"/>
        <v>76.567940860828728</v>
      </c>
      <c r="AB15" s="256">
        <f t="shared" si="8"/>
        <v>810</v>
      </c>
      <c r="AC15" s="256">
        <f t="shared" si="9"/>
        <v>405</v>
      </c>
      <c r="AD15" s="257">
        <f>('[4]EC - Travel Time - Roadway'!$D$74/60)</f>
        <v>0.99776500638569621</v>
      </c>
      <c r="AE15" s="257">
        <f>('[4]EC - Travel Time - Roadway'!$D$74/60)</f>
        <v>0.99776500638569621</v>
      </c>
      <c r="AF15" s="256">
        <f t="shared" si="10"/>
        <v>372.99619977419883</v>
      </c>
      <c r="AG15" s="256">
        <f t="shared" si="10"/>
        <v>76.396812001944383</v>
      </c>
      <c r="AH15" s="257">
        <f t="shared" si="11"/>
        <v>0.85516579128931058</v>
      </c>
      <c r="AI15" s="257">
        <f t="shared" si="11"/>
        <v>0.23261070250627286</v>
      </c>
      <c r="AJ15" s="256">
        <f t="shared" si="12"/>
        <v>345.56807298867619</v>
      </c>
      <c r="AK15" s="262">
        <f t="shared" si="12"/>
        <v>46.998390861989407</v>
      </c>
      <c r="AL15" s="255">
        <f t="shared" si="13"/>
        <v>126132.34664086682</v>
      </c>
      <c r="AM15" s="255">
        <f t="shared" si="13"/>
        <v>17154.412664626132</v>
      </c>
    </row>
    <row r="16" spans="1:39">
      <c r="C16" s="573">
        <v>2028</v>
      </c>
      <c r="D16" s="176">
        <f t="shared" si="14"/>
        <v>14541.780437292227</v>
      </c>
      <c r="E16" s="176">
        <f t="shared" si="15"/>
        <v>12069.677762952548</v>
      </c>
      <c r="F16" s="176">
        <f t="shared" si="19"/>
        <v>2472.1026743396792</v>
      </c>
      <c r="G16" s="255">
        <f t="shared" si="16"/>
        <v>502.90324012302284</v>
      </c>
      <c r="H16" s="255">
        <f t="shared" si="16"/>
        <v>103.00427809748663</v>
      </c>
      <c r="I16" s="256">
        <f t="shared" si="0"/>
        <v>810</v>
      </c>
      <c r="J16" s="256">
        <f t="shared" si="1"/>
        <v>405</v>
      </c>
      <c r="K16" s="257">
        <f>('[4]EC - Travel Time - Roadway'!$D$74/60)</f>
        <v>0.99776500638569621</v>
      </c>
      <c r="L16" s="257">
        <f>('[4]EC - Travel Time - Roadway'!$D$74/60)</f>
        <v>0.99776500638569621</v>
      </c>
      <c r="M16" s="256">
        <f t="shared" si="2"/>
        <v>501.77925459273519</v>
      </c>
      <c r="N16" s="256">
        <f t="shared" si="2"/>
        <v>102.77406419369278</v>
      </c>
      <c r="O16" s="257">
        <f t="shared" si="3"/>
        <v>1.633945127893071</v>
      </c>
      <c r="P16" s="257">
        <f t="shared" si="3"/>
        <v>0.34031629172173861</v>
      </c>
      <c r="Q16" s="258">
        <f t="shared" si="4"/>
        <v>660.26877474127343</v>
      </c>
      <c r="R16" s="259">
        <f t="shared" si="4"/>
        <v>68.760026614036633</v>
      </c>
      <c r="S16" s="255">
        <f t="shared" si="5"/>
        <v>240998.1027805648</v>
      </c>
      <c r="T16" s="255">
        <f t="shared" si="5"/>
        <v>25097.409714123372</v>
      </c>
      <c r="U16" s="255"/>
      <c r="V16" s="573">
        <v>2028</v>
      </c>
      <c r="W16" s="176">
        <f t="shared" si="6"/>
        <v>10982.54511735557</v>
      </c>
      <c r="X16" s="176">
        <f t="shared" si="7"/>
        <v>9115.5124474051227</v>
      </c>
      <c r="Y16" s="176">
        <f t="shared" si="17"/>
        <v>1867.0326699504476</v>
      </c>
      <c r="Z16" s="255">
        <f t="shared" si="18"/>
        <v>379.81301864188009</v>
      </c>
      <c r="AA16" s="255">
        <f t="shared" si="18"/>
        <v>77.793027914601979</v>
      </c>
      <c r="AB16" s="256">
        <f t="shared" si="8"/>
        <v>810</v>
      </c>
      <c r="AC16" s="256">
        <f t="shared" si="9"/>
        <v>405</v>
      </c>
      <c r="AD16" s="257">
        <f>('[4]EC - Travel Time - Roadway'!$D$74/60)</f>
        <v>0.99776500638569621</v>
      </c>
      <c r="AE16" s="257">
        <f>('[4]EC - Travel Time - Roadway'!$D$74/60)</f>
        <v>0.99776500638569621</v>
      </c>
      <c r="AF16" s="256">
        <f t="shared" si="10"/>
        <v>378.96413897058602</v>
      </c>
      <c r="AG16" s="256">
        <f t="shared" si="10"/>
        <v>77.619160993975484</v>
      </c>
      <c r="AH16" s="257">
        <f t="shared" si="11"/>
        <v>0.8809288876529433</v>
      </c>
      <c r="AI16" s="257">
        <f t="shared" si="11"/>
        <v>0.23721731997115755</v>
      </c>
      <c r="AJ16" s="256">
        <f t="shared" si="12"/>
        <v>355.97880697182518</v>
      </c>
      <c r="AK16" s="262">
        <f t="shared" si="12"/>
        <v>47.929146007103505</v>
      </c>
      <c r="AL16" s="255">
        <f t="shared" si="13"/>
        <v>129932.26454471619</v>
      </c>
      <c r="AM16" s="255">
        <f t="shared" si="13"/>
        <v>17494.138292592779</v>
      </c>
    </row>
    <row r="17" spans="3:39">
      <c r="C17" s="573">
        <v>2029</v>
      </c>
      <c r="D17" s="176">
        <f t="shared" si="14"/>
        <v>14774.448924288903</v>
      </c>
      <c r="E17" s="176">
        <f t="shared" si="15"/>
        <v>12262.792607159789</v>
      </c>
      <c r="F17" s="176">
        <f t="shared" si="19"/>
        <v>2511.6563171291141</v>
      </c>
      <c r="G17" s="255">
        <f t="shared" si="16"/>
        <v>510.94969196499119</v>
      </c>
      <c r="H17" s="255">
        <f t="shared" si="16"/>
        <v>104.65234654704642</v>
      </c>
      <c r="I17" s="256">
        <f t="shared" si="0"/>
        <v>810</v>
      </c>
      <c r="J17" s="256">
        <f t="shared" si="1"/>
        <v>405</v>
      </c>
      <c r="K17" s="257">
        <f>('[4]EC - Travel Time - Roadway'!$D$74/60)</f>
        <v>0.99776500638569621</v>
      </c>
      <c r="L17" s="257">
        <f>('[4]EC - Travel Time - Roadway'!$D$74/60)</f>
        <v>0.99776500638569621</v>
      </c>
      <c r="M17" s="256">
        <f t="shared" si="2"/>
        <v>509.80772266621892</v>
      </c>
      <c r="N17" s="256">
        <f t="shared" si="2"/>
        <v>104.41844922079187</v>
      </c>
      <c r="O17" s="257">
        <f t="shared" si="3"/>
        <v>1.7047557182470363</v>
      </c>
      <c r="P17" s="257">
        <f t="shared" si="3"/>
        <v>0.34765861500944928</v>
      </c>
      <c r="Q17" s="258">
        <f t="shared" si="4"/>
        <v>688.88296804163645</v>
      </c>
      <c r="R17" s="259">
        <f t="shared" si="4"/>
        <v>70.243524045551453</v>
      </c>
      <c r="S17" s="255">
        <f t="shared" si="5"/>
        <v>251442.28333519731</v>
      </c>
      <c r="T17" s="255">
        <f t="shared" si="5"/>
        <v>25638.886276626279</v>
      </c>
      <c r="U17" s="255"/>
      <c r="V17" s="573">
        <v>2029</v>
      </c>
      <c r="W17" s="176">
        <f t="shared" si="6"/>
        <v>11158.26583923326</v>
      </c>
      <c r="X17" s="176">
        <f t="shared" si="7"/>
        <v>9261.360646563604</v>
      </c>
      <c r="Y17" s="176">
        <f t="shared" si="17"/>
        <v>1896.9051926696548</v>
      </c>
      <c r="Z17" s="255">
        <f t="shared" si="18"/>
        <v>385.89002694015016</v>
      </c>
      <c r="AA17" s="255">
        <f t="shared" si="18"/>
        <v>79.03771636123561</v>
      </c>
      <c r="AB17" s="256">
        <f t="shared" si="8"/>
        <v>810</v>
      </c>
      <c r="AC17" s="256">
        <f t="shared" si="9"/>
        <v>405</v>
      </c>
      <c r="AD17" s="257">
        <f>('[4]EC - Travel Time - Roadway'!$D$74/60)</f>
        <v>0.99776500638569621</v>
      </c>
      <c r="AE17" s="257">
        <f>('[4]EC - Travel Time - Roadway'!$D$74/60)</f>
        <v>0.99776500638569621</v>
      </c>
      <c r="AF17" s="256">
        <f t="shared" si="10"/>
        <v>385.02756519411543</v>
      </c>
      <c r="AG17" s="256">
        <f t="shared" si="10"/>
        <v>78.861067569879097</v>
      </c>
      <c r="AH17" s="257">
        <f t="shared" si="11"/>
        <v>0.9078484111473154</v>
      </c>
      <c r="AI17" s="257">
        <f t="shared" si="11"/>
        <v>0.24193310554074393</v>
      </c>
      <c r="AJ17" s="256">
        <f t="shared" si="12"/>
        <v>366.85684717698632</v>
      </c>
      <c r="AK17" s="262">
        <f t="shared" si="12"/>
        <v>48.881958285441264</v>
      </c>
      <c r="AL17" s="255">
        <f t="shared" si="13"/>
        <v>133902.74921959999</v>
      </c>
      <c r="AM17" s="255">
        <f t="shared" si="13"/>
        <v>17841.914774186062</v>
      </c>
    </row>
    <row r="18" spans="3:39">
      <c r="C18" s="573">
        <v>2030</v>
      </c>
      <c r="D18" s="176">
        <f t="shared" si="14"/>
        <v>15010.840107077525</v>
      </c>
      <c r="E18" s="176">
        <f t="shared" si="15"/>
        <v>12458.997288874345</v>
      </c>
      <c r="F18" s="176">
        <f t="shared" si="19"/>
        <v>2551.8428182031798</v>
      </c>
      <c r="G18" s="255">
        <f t="shared" si="16"/>
        <v>519.12488703643101</v>
      </c>
      <c r="H18" s="255">
        <f t="shared" si="16"/>
        <v>106.32678409179915</v>
      </c>
      <c r="I18" s="256">
        <f t="shared" si="0"/>
        <v>810</v>
      </c>
      <c r="J18" s="256">
        <f t="shared" si="1"/>
        <v>405</v>
      </c>
      <c r="K18" s="257">
        <f>('[4]EC - Travel Time - Roadway'!$D$74/60)</f>
        <v>0.99776500638569621</v>
      </c>
      <c r="L18" s="257">
        <f>('[4]EC - Travel Time - Roadway'!$D$74/60)</f>
        <v>0.99776500638569621</v>
      </c>
      <c r="M18" s="256">
        <f t="shared" si="2"/>
        <v>517.96464622887845</v>
      </c>
      <c r="N18" s="256">
        <f t="shared" si="2"/>
        <v>106.08914440832453</v>
      </c>
      <c r="O18" s="257">
        <f t="shared" si="3"/>
        <v>1.7807114570635389</v>
      </c>
      <c r="P18" s="257">
        <f t="shared" si="3"/>
        <v>0.35520139991706423</v>
      </c>
      <c r="Q18" s="258">
        <f t="shared" si="4"/>
        <v>719.57628922287415</v>
      </c>
      <c r="R18" s="259">
        <f t="shared" si="4"/>
        <v>71.767524228932714</v>
      </c>
      <c r="S18" s="255">
        <f t="shared" si="5"/>
        <v>262645.34556634905</v>
      </c>
      <c r="T18" s="255">
        <f t="shared" si="5"/>
        <v>26195.146343560442</v>
      </c>
      <c r="U18" s="255"/>
      <c r="V18" s="573">
        <v>2030</v>
      </c>
      <c r="W18" s="176">
        <f t="shared" si="6"/>
        <v>11336.798092660993</v>
      </c>
      <c r="X18" s="176">
        <f t="shared" si="7"/>
        <v>9409.5424169086236</v>
      </c>
      <c r="Y18" s="176">
        <f t="shared" si="17"/>
        <v>1927.2556757523691</v>
      </c>
      <c r="Z18" s="255">
        <f t="shared" si="18"/>
        <v>392.06426737119267</v>
      </c>
      <c r="AA18" s="255">
        <f t="shared" si="18"/>
        <v>80.302319823015381</v>
      </c>
      <c r="AB18" s="256">
        <f t="shared" si="8"/>
        <v>810</v>
      </c>
      <c r="AC18" s="256">
        <f t="shared" si="9"/>
        <v>405</v>
      </c>
      <c r="AD18" s="257">
        <f>('[4]EC - Travel Time - Roadway'!$D$74/60)</f>
        <v>0.99776500638569621</v>
      </c>
      <c r="AE18" s="257">
        <f>('[4]EC - Travel Time - Roadway'!$D$74/60)</f>
        <v>0.99776500638569621</v>
      </c>
      <c r="AF18" s="256">
        <f t="shared" si="10"/>
        <v>391.18800623722137</v>
      </c>
      <c r="AG18" s="256">
        <f t="shared" si="10"/>
        <v>80.122844650997166</v>
      </c>
      <c r="AH18" s="257">
        <f t="shared" si="11"/>
        <v>0.93600038402233932</v>
      </c>
      <c r="AI18" s="257">
        <f t="shared" si="11"/>
        <v>0.24676137078443003</v>
      </c>
      <c r="AJ18" s="256">
        <f t="shared" si="12"/>
        <v>378.23291380213067</v>
      </c>
      <c r="AK18" s="262">
        <f t="shared" si="12"/>
        <v>49.857496791035167</v>
      </c>
      <c r="AL18" s="255">
        <f t="shared" si="13"/>
        <v>138055.0135377777</v>
      </c>
      <c r="AM18" s="255">
        <f t="shared" si="13"/>
        <v>18197.986328727835</v>
      </c>
    </row>
    <row r="19" spans="3:39">
      <c r="C19" s="573">
        <v>2031</v>
      </c>
      <c r="D19" s="176">
        <f t="shared" si="14"/>
        <v>15251.013548790766</v>
      </c>
      <c r="E19" s="176">
        <f t="shared" si="15"/>
        <v>12658.341245496336</v>
      </c>
      <c r="F19" s="176">
        <f t="shared" si="19"/>
        <v>2592.6723032944305</v>
      </c>
      <c r="G19" s="255">
        <f t="shared" si="16"/>
        <v>527.43088522901405</v>
      </c>
      <c r="H19" s="255">
        <f t="shared" si="16"/>
        <v>108.02801263726793</v>
      </c>
      <c r="I19" s="256">
        <f t="shared" si="0"/>
        <v>810</v>
      </c>
      <c r="J19" s="256">
        <f t="shared" si="1"/>
        <v>405</v>
      </c>
      <c r="K19" s="257">
        <f>('[4]EC - Travel Time - Roadway'!$D$74/60)</f>
        <v>0.99776500638569621</v>
      </c>
      <c r="L19" s="257">
        <f>('[4]EC - Travel Time - Roadway'!$D$74/60)</f>
        <v>0.99776500638569621</v>
      </c>
      <c r="M19" s="256">
        <f t="shared" si="2"/>
        <v>526.25208056854058</v>
      </c>
      <c r="N19" s="256">
        <f t="shared" si="2"/>
        <v>107.78657071885772</v>
      </c>
      <c r="O19" s="257">
        <f t="shared" si="3"/>
        <v>1.8623835835528331</v>
      </c>
      <c r="P19" s="257">
        <f t="shared" si="3"/>
        <v>0.36295197966669962</v>
      </c>
      <c r="Q19" s="258">
        <f t="shared" si="4"/>
        <v>752.57957309516428</v>
      </c>
      <c r="R19" s="259">
        <f t="shared" si="4"/>
        <v>73.333508822743738</v>
      </c>
      <c r="S19" s="255">
        <f t="shared" si="5"/>
        <v>274691.54417973495</v>
      </c>
      <c r="T19" s="255">
        <f t="shared" si="5"/>
        <v>26766.730720301464</v>
      </c>
      <c r="U19" s="255"/>
      <c r="V19" s="573">
        <v>2031</v>
      </c>
      <c r="W19" s="176">
        <f t="shared" si="6"/>
        <v>11518.186862143568</v>
      </c>
      <c r="X19" s="176">
        <f t="shared" si="7"/>
        <v>9560.0950955791614</v>
      </c>
      <c r="Y19" s="176">
        <f t="shared" si="17"/>
        <v>1958.0917665644072</v>
      </c>
      <c r="Z19" s="255">
        <f t="shared" si="18"/>
        <v>398.3372956491317</v>
      </c>
      <c r="AA19" s="255">
        <f t="shared" si="18"/>
        <v>81.587156940183633</v>
      </c>
      <c r="AB19" s="256">
        <f t="shared" si="8"/>
        <v>810</v>
      </c>
      <c r="AC19" s="256">
        <f t="shared" si="9"/>
        <v>405</v>
      </c>
      <c r="AD19" s="257">
        <f>('[4]EC - Travel Time - Roadway'!$D$74/60)</f>
        <v>0.99776500638569621</v>
      </c>
      <c r="AE19" s="257">
        <f>('[4]EC - Travel Time - Roadway'!$D$74/60)</f>
        <v>0.99776500638569621</v>
      </c>
      <c r="AF19" s="256">
        <f t="shared" si="10"/>
        <v>397.44701433701687</v>
      </c>
      <c r="AG19" s="256">
        <f t="shared" si="10"/>
        <v>81.404810165413124</v>
      </c>
      <c r="AH19" s="257">
        <f t="shared" si="11"/>
        <v>0.96546762710440948</v>
      </c>
      <c r="AI19" s="257">
        <f t="shared" si="11"/>
        <v>0.25170555811958589</v>
      </c>
      <c r="AJ19" s="256">
        <f t="shared" si="12"/>
        <v>390.14047431482072</v>
      </c>
      <c r="AK19" s="262">
        <f t="shared" si="12"/>
        <v>50.856457055412037</v>
      </c>
      <c r="AL19" s="255">
        <f t="shared" si="13"/>
        <v>142401.27312490955</v>
      </c>
      <c r="AM19" s="255">
        <f t="shared" si="13"/>
        <v>18562.606825225394</v>
      </c>
    </row>
    <row r="20" spans="3:39">
      <c r="C20" s="573">
        <v>2032</v>
      </c>
      <c r="D20" s="176">
        <f t="shared" si="14"/>
        <v>15495.029765571418</v>
      </c>
      <c r="E20" s="176">
        <f t="shared" si="15"/>
        <v>12860.874705424278</v>
      </c>
      <c r="F20" s="176">
        <f t="shared" si="19"/>
        <v>2634.1550601471413</v>
      </c>
      <c r="G20" s="255">
        <f t="shared" si="16"/>
        <v>535.8697793926782</v>
      </c>
      <c r="H20" s="255">
        <f t="shared" si="16"/>
        <v>109.75646083946422</v>
      </c>
      <c r="I20" s="256">
        <f t="shared" si="0"/>
        <v>810</v>
      </c>
      <c r="J20" s="256">
        <f t="shared" si="1"/>
        <v>405</v>
      </c>
      <c r="K20" s="257">
        <f>('[4]EC - Travel Time - Roadway'!$D$74/60)</f>
        <v>0.99776500638569621</v>
      </c>
      <c r="L20" s="257">
        <f>('[4]EC - Travel Time - Roadway'!$D$74/60)</f>
        <v>0.99776500638569621</v>
      </c>
      <c r="M20" s="256">
        <f t="shared" si="2"/>
        <v>534.67211385763721</v>
      </c>
      <c r="N20" s="256">
        <f t="shared" si="2"/>
        <v>109.51115585035944</v>
      </c>
      <c r="O20" s="257">
        <f t="shared" si="3"/>
        <v>1.9504311223808082</v>
      </c>
      <c r="P20" s="257">
        <f t="shared" si="3"/>
        <v>0.37091804332698314</v>
      </c>
      <c r="Q20" s="258">
        <f t="shared" si="4"/>
        <v>788.1591281172449</v>
      </c>
      <c r="R20" s="259">
        <f t="shared" si="4"/>
        <v>74.943031383415246</v>
      </c>
      <c r="S20" s="255">
        <f t="shared" si="5"/>
        <v>287678.08176279441</v>
      </c>
      <c r="T20" s="255">
        <f t="shared" si="5"/>
        <v>27354.206454946565</v>
      </c>
      <c r="U20" s="255"/>
      <c r="V20" s="573">
        <v>2032</v>
      </c>
      <c r="W20" s="176">
        <f t="shared" si="6"/>
        <v>11702.477851937865</v>
      </c>
      <c r="X20" s="176">
        <f t="shared" si="7"/>
        <v>9713.0566171084283</v>
      </c>
      <c r="Y20" s="176">
        <f t="shared" si="17"/>
        <v>1989.4212348294377</v>
      </c>
      <c r="Z20" s="255">
        <f t="shared" si="18"/>
        <v>404.71069237951787</v>
      </c>
      <c r="AA20" s="255">
        <f t="shared" si="18"/>
        <v>82.892551451226566</v>
      </c>
      <c r="AB20" s="256">
        <f t="shared" si="8"/>
        <v>810</v>
      </c>
      <c r="AC20" s="256">
        <f t="shared" si="9"/>
        <v>405</v>
      </c>
      <c r="AD20" s="257">
        <f>('[4]EC - Travel Time - Roadway'!$D$74/60)</f>
        <v>0.99776500638569621</v>
      </c>
      <c r="AE20" s="257">
        <f>('[4]EC - Travel Time - Roadway'!$D$74/60)</f>
        <v>0.99776500638569621</v>
      </c>
      <c r="AF20" s="256">
        <f t="shared" si="10"/>
        <v>403.80616656640916</v>
      </c>
      <c r="AG20" s="256">
        <f t="shared" si="10"/>
        <v>82.707287128059733</v>
      </c>
      <c r="AH20" s="257">
        <f t="shared" si="11"/>
        <v>0.99634053742305528</v>
      </c>
      <c r="AI20" s="257">
        <f t="shared" si="11"/>
        <v>0.25676924734491574</v>
      </c>
      <c r="AJ20" s="256">
        <f t="shared" si="12"/>
        <v>402.61605768711831</v>
      </c>
      <c r="AK20" s="262">
        <f t="shared" si="12"/>
        <v>51.879562367641931</v>
      </c>
      <c r="AL20" s="255">
        <f t="shared" si="13"/>
        <v>146954.86105579819</v>
      </c>
      <c r="AM20" s="255">
        <f t="shared" si="13"/>
        <v>18936.040264189305</v>
      </c>
    </row>
    <row r="21" spans="3:39">
      <c r="C21" s="573">
        <v>2033</v>
      </c>
      <c r="D21" s="176">
        <f t="shared" si="14"/>
        <v>15742.950241820561</v>
      </c>
      <c r="E21" s="176">
        <f t="shared" si="15"/>
        <v>13066.648700711066</v>
      </c>
      <c r="F21" s="176">
        <f t="shared" si="19"/>
        <v>2676.3015411094957</v>
      </c>
      <c r="G21" s="255">
        <f t="shared" si="16"/>
        <v>544.44369586296114</v>
      </c>
      <c r="H21" s="255">
        <f t="shared" si="16"/>
        <v>111.51256421289565</v>
      </c>
      <c r="I21" s="256">
        <f t="shared" si="0"/>
        <v>810</v>
      </c>
      <c r="J21" s="256">
        <f t="shared" si="1"/>
        <v>405</v>
      </c>
      <c r="K21" s="257">
        <f>('[4]EC - Travel Time - Roadway'!$D$74/60)</f>
        <v>0.99776500638569621</v>
      </c>
      <c r="L21" s="257">
        <f>('[4]EC - Travel Time - Roadway'!$D$74/60)</f>
        <v>0.99776500638569621</v>
      </c>
      <c r="M21" s="256">
        <f t="shared" si="2"/>
        <v>543.22686767935943</v>
      </c>
      <c r="N21" s="256">
        <f t="shared" si="2"/>
        <v>111.26333434396518</v>
      </c>
      <c r="O21" s="257">
        <f t="shared" si="3"/>
        <v>2.0456184214667719</v>
      </c>
      <c r="P21" s="257">
        <f t="shared" si="3"/>
        <v>0.3791076576943333</v>
      </c>
      <c r="Q21" s="258">
        <f t="shared" si="4"/>
        <v>826.62382332978405</v>
      </c>
      <c r="R21" s="259">
        <f t="shared" si="4"/>
        <v>76.597721786301193</v>
      </c>
      <c r="S21" s="255">
        <f t="shared" si="5"/>
        <v>301717.69551537116</v>
      </c>
      <c r="T21" s="255">
        <f t="shared" si="5"/>
        <v>27958.168451999936</v>
      </c>
      <c r="U21" s="255"/>
      <c r="V21" s="573">
        <v>2033</v>
      </c>
      <c r="W21" s="176">
        <f t="shared" si="6"/>
        <v>11889.71749756887</v>
      </c>
      <c r="X21" s="176">
        <f t="shared" si="7"/>
        <v>9868.4655229821619</v>
      </c>
      <c r="Y21" s="176">
        <f t="shared" si="17"/>
        <v>2021.2519745867087</v>
      </c>
      <c r="Z21" s="255">
        <f t="shared" si="18"/>
        <v>411.18606345759008</v>
      </c>
      <c r="AA21" s="255">
        <f t="shared" si="18"/>
        <v>84.2188322744462</v>
      </c>
      <c r="AB21" s="256">
        <f t="shared" si="8"/>
        <v>810</v>
      </c>
      <c r="AC21" s="256">
        <f t="shared" si="9"/>
        <v>405</v>
      </c>
      <c r="AD21" s="257">
        <f>('[4]EC - Travel Time - Roadway'!$D$74/60)</f>
        <v>0.99776500638569621</v>
      </c>
      <c r="AE21" s="257">
        <f>('[4]EC - Travel Time - Roadway'!$D$74/60)</f>
        <v>0.99776500638569621</v>
      </c>
      <c r="AF21" s="256">
        <f t="shared" si="10"/>
        <v>410.26706523147163</v>
      </c>
      <c r="AG21" s="256">
        <f t="shared" si="10"/>
        <v>84.030603722108694</v>
      </c>
      <c r="AH21" s="257">
        <f t="shared" si="11"/>
        <v>1.0287179750746844</v>
      </c>
      <c r="AI21" s="257">
        <f t="shared" si="11"/>
        <v>0.26195616256999715</v>
      </c>
      <c r="AJ21" s="256">
        <f t="shared" si="12"/>
        <v>415.69961277263656</v>
      </c>
      <c r="AK21" s="262">
        <f t="shared" si="12"/>
        <v>52.927565174433695</v>
      </c>
      <c r="AL21" s="255">
        <f t="shared" si="13"/>
        <v>151730.35866201235</v>
      </c>
      <c r="AM21" s="255">
        <f t="shared" si="13"/>
        <v>19318.561288668297</v>
      </c>
    </row>
    <row r="22" spans="3:39">
      <c r="C22" s="573">
        <v>2034</v>
      </c>
      <c r="D22" s="176">
        <f t="shared" si="14"/>
        <v>15994.837445689691</v>
      </c>
      <c r="E22" s="176">
        <f t="shared" si="15"/>
        <v>13275.715079922444</v>
      </c>
      <c r="F22" s="176">
        <f t="shared" si="19"/>
        <v>2719.1223657672476</v>
      </c>
      <c r="G22" s="255">
        <f t="shared" si="16"/>
        <v>553.15479499676849</v>
      </c>
      <c r="H22" s="255">
        <f t="shared" si="16"/>
        <v>113.29676524030198</v>
      </c>
      <c r="I22" s="256">
        <f t="shared" si="0"/>
        <v>810</v>
      </c>
      <c r="J22" s="256">
        <f t="shared" si="1"/>
        <v>405</v>
      </c>
      <c r="K22" s="257">
        <f>('[4]EC - Travel Time - Roadway'!$D$74/60)</f>
        <v>0.99776500638569621</v>
      </c>
      <c r="L22" s="257">
        <f>('[4]EC - Travel Time - Roadway'!$D$74/60)</f>
        <v>0.99776500638569621</v>
      </c>
      <c r="M22" s="256">
        <f t="shared" si="2"/>
        <v>551.91849756222916</v>
      </c>
      <c r="N22" s="256">
        <f t="shared" si="2"/>
        <v>113.04354769346862</v>
      </c>
      <c r="O22" s="257">
        <f t="shared" si="3"/>
        <v>2.1488370692195136</v>
      </c>
      <c r="P22" s="257">
        <f t="shared" si="3"/>
        <v>0.38752929081020537</v>
      </c>
      <c r="Q22" s="258">
        <f t="shared" si="4"/>
        <v>868.3339449971096</v>
      </c>
      <c r="R22" s="259">
        <f t="shared" si="4"/>
        <v>78.299290977277508</v>
      </c>
      <c r="S22" s="255">
        <f t="shared" si="5"/>
        <v>316941.88992394501</v>
      </c>
      <c r="T22" s="255">
        <f t="shared" si="5"/>
        <v>28579.241206706291</v>
      </c>
      <c r="U22" s="255"/>
      <c r="V22" s="573">
        <v>2034</v>
      </c>
      <c r="W22" s="176">
        <f t="shared" si="6"/>
        <v>12079.952977529972</v>
      </c>
      <c r="X22" s="176">
        <f t="shared" si="7"/>
        <v>10026.360971349877</v>
      </c>
      <c r="Y22" s="176">
        <f t="shared" si="17"/>
        <v>2053.5920061800962</v>
      </c>
      <c r="Z22" s="255">
        <f t="shared" si="18"/>
        <v>417.76504047291155</v>
      </c>
      <c r="AA22" s="255">
        <f t="shared" si="18"/>
        <v>85.566333590837345</v>
      </c>
      <c r="AB22" s="256">
        <f t="shared" si="8"/>
        <v>810</v>
      </c>
      <c r="AC22" s="256">
        <f t="shared" si="9"/>
        <v>405</v>
      </c>
      <c r="AD22" s="257">
        <f>('[4]EC - Travel Time - Roadway'!$D$74/60)</f>
        <v>0.99776500638569621</v>
      </c>
      <c r="AE22" s="257">
        <f>('[4]EC - Travel Time - Roadway'!$D$74/60)</f>
        <v>0.99776500638569621</v>
      </c>
      <c r="AF22" s="256">
        <f t="shared" si="10"/>
        <v>416.83133827517526</v>
      </c>
      <c r="AG22" s="256">
        <f t="shared" si="10"/>
        <v>85.375093381662438</v>
      </c>
      <c r="AH22" s="257">
        <f t="shared" si="11"/>
        <v>1.0627082776551644</v>
      </c>
      <c r="AI22" s="257">
        <f t="shared" si="11"/>
        <v>0.26727017956931776</v>
      </c>
      <c r="AJ22" s="256">
        <f t="shared" si="12"/>
        <v>429.43491823349859</v>
      </c>
      <c r="AK22" s="262">
        <f t="shared" si="12"/>
        <v>54.001248565999013</v>
      </c>
      <c r="AL22" s="255">
        <f t="shared" si="13"/>
        <v>156743.74515522699</v>
      </c>
      <c r="AM22" s="255">
        <f t="shared" si="13"/>
        <v>19710.45572658964</v>
      </c>
    </row>
    <row r="23" spans="3:39">
      <c r="C23" s="573">
        <v>2035</v>
      </c>
      <c r="D23" s="176">
        <f t="shared" si="14"/>
        <v>16250.754844820725</v>
      </c>
      <c r="E23" s="176">
        <f t="shared" si="15"/>
        <v>13488.126521201202</v>
      </c>
      <c r="F23" s="176">
        <f t="shared" si="19"/>
        <v>2762.6283236195236</v>
      </c>
      <c r="G23" s="255">
        <f t="shared" si="16"/>
        <v>562.00527171671672</v>
      </c>
      <c r="H23" s="255">
        <f t="shared" si="16"/>
        <v>115.10951348414682</v>
      </c>
      <c r="I23" s="256">
        <f t="shared" si="0"/>
        <v>810</v>
      </c>
      <c r="J23" s="256">
        <f t="shared" si="1"/>
        <v>405</v>
      </c>
      <c r="K23" s="257">
        <f>('[4]EC - Travel Time - Roadway'!$D$74/60)</f>
        <v>0.99776500638569621</v>
      </c>
      <c r="L23" s="257">
        <f>('[4]EC - Travel Time - Roadway'!$D$74/60)</f>
        <v>0.99776500638569621</v>
      </c>
      <c r="M23" s="256">
        <f t="shared" si="2"/>
        <v>560.74919352322479</v>
      </c>
      <c r="N23" s="256">
        <f t="shared" si="2"/>
        <v>114.85224445656414</v>
      </c>
      <c r="O23" s="257">
        <f t="shared" si="3"/>
        <v>2.2611335224944114</v>
      </c>
      <c r="P23" s="257">
        <f t="shared" si="3"/>
        <v>0.39619183725880303</v>
      </c>
      <c r="Q23" s="258">
        <f t="shared" si="4"/>
        <v>913.71236092177196</v>
      </c>
      <c r="R23" s="259">
        <f t="shared" si="4"/>
        <v>80.049536084079293</v>
      </c>
      <c r="S23" s="255">
        <f t="shared" si="5"/>
        <v>333505.01173644676</v>
      </c>
      <c r="T23" s="255">
        <f t="shared" si="5"/>
        <v>29218.080670688942</v>
      </c>
      <c r="U23" s="255"/>
      <c r="V23" s="573">
        <v>2035</v>
      </c>
      <c r="W23" s="176">
        <f t="shared" si="6"/>
        <v>12273.232225170452</v>
      </c>
      <c r="X23" s="176">
        <f t="shared" si="7"/>
        <v>10186.782746891473</v>
      </c>
      <c r="Y23" s="176">
        <f t="shared" si="17"/>
        <v>2086.4494782789779</v>
      </c>
      <c r="Z23" s="255">
        <f t="shared" si="18"/>
        <v>424.44928112047802</v>
      </c>
      <c r="AA23" s="255">
        <f t="shared" si="18"/>
        <v>86.935394928290748</v>
      </c>
      <c r="AB23" s="256">
        <f t="shared" si="8"/>
        <v>810</v>
      </c>
      <c r="AC23" s="256">
        <f t="shared" si="9"/>
        <v>405</v>
      </c>
      <c r="AD23" s="257">
        <f>('[4]EC - Travel Time - Roadway'!$D$74/60)</f>
        <v>0.99776500638569621</v>
      </c>
      <c r="AE23" s="257">
        <f>('[4]EC - Travel Time - Roadway'!$D$74/60)</f>
        <v>0.99776500638569621</v>
      </c>
      <c r="AF23" s="256">
        <f t="shared" si="10"/>
        <v>423.50063968757792</v>
      </c>
      <c r="AG23" s="256">
        <f t="shared" si="10"/>
        <v>86.741094875769036</v>
      </c>
      <c r="AH23" s="257">
        <f t="shared" si="11"/>
        <v>1.0984304241951488</v>
      </c>
      <c r="AI23" s="257">
        <f t="shared" si="11"/>
        <v>0.27271533359146588</v>
      </c>
      <c r="AJ23" s="256">
        <f t="shared" si="12"/>
        <v>443.87005288058282</v>
      </c>
      <c r="AK23" s="262">
        <f t="shared" si="12"/>
        <v>55.101427853879159</v>
      </c>
      <c r="AL23" s="255">
        <f t="shared" si="13"/>
        <v>162012.56930141273</v>
      </c>
      <c r="AM23" s="255">
        <f t="shared" si="13"/>
        <v>20112.021166665894</v>
      </c>
    </row>
    <row r="24" spans="3:39">
      <c r="C24" s="573">
        <v>2036</v>
      </c>
      <c r="D24" s="176">
        <f t="shared" si="14"/>
        <v>16510.766922337858</v>
      </c>
      <c r="E24" s="176">
        <f t="shared" si="15"/>
        <v>13703.936545540422</v>
      </c>
      <c r="F24" s="176">
        <f t="shared" si="19"/>
        <v>2806.8303767974362</v>
      </c>
      <c r="G24" s="255">
        <f t="shared" si="16"/>
        <v>570.99735606418426</v>
      </c>
      <c r="H24" s="255">
        <f t="shared" si="16"/>
        <v>116.95126569989317</v>
      </c>
      <c r="I24" s="256">
        <f t="shared" si="0"/>
        <v>810</v>
      </c>
      <c r="J24" s="256">
        <f t="shared" si="1"/>
        <v>405</v>
      </c>
      <c r="K24" s="257">
        <f>('[4]EC - Travel Time - Roadway'!$D$74/60)</f>
        <v>0.99776500638569621</v>
      </c>
      <c r="L24" s="257">
        <f>('[4]EC - Travel Time - Roadway'!$D$74/60)</f>
        <v>0.99776500638569621</v>
      </c>
      <c r="M24" s="256">
        <f t="shared" si="2"/>
        <v>569.72118061959645</v>
      </c>
      <c r="N24" s="256">
        <f t="shared" si="2"/>
        <v>116.68988036786916</v>
      </c>
      <c r="O24" s="257">
        <f t="shared" si="3"/>
        <v>2.3837442600534384</v>
      </c>
      <c r="P24" s="257">
        <f t="shared" si="3"/>
        <v>0.40510464540453245</v>
      </c>
      <c r="Q24" s="258">
        <f t="shared" si="4"/>
        <v>963.25872577590462</v>
      </c>
      <c r="R24" s="259">
        <f t="shared" si="4"/>
        <v>81.850345919558023</v>
      </c>
      <c r="S24" s="255">
        <f t="shared" si="5"/>
        <v>351589.43490820518</v>
      </c>
      <c r="T24" s="255">
        <f t="shared" si="5"/>
        <v>29875.376260638677</v>
      </c>
      <c r="U24" s="255"/>
      <c r="V24" s="573">
        <v>2036</v>
      </c>
      <c r="W24" s="176">
        <f t="shared" si="6"/>
        <v>12469.603940773179</v>
      </c>
      <c r="X24" s="176">
        <f t="shared" si="7"/>
        <v>10349.771270841737</v>
      </c>
      <c r="Y24" s="176">
        <f t="shared" si="17"/>
        <v>2119.8326699314416</v>
      </c>
      <c r="Z24" s="255">
        <f t="shared" si="18"/>
        <v>431.24046961840571</v>
      </c>
      <c r="AA24" s="255">
        <f t="shared" si="18"/>
        <v>88.326361247143396</v>
      </c>
      <c r="AB24" s="256">
        <f t="shared" si="8"/>
        <v>810</v>
      </c>
      <c r="AC24" s="256">
        <f t="shared" si="9"/>
        <v>405</v>
      </c>
      <c r="AD24" s="257">
        <f>('[4]EC - Travel Time - Roadway'!$D$74/60)</f>
        <v>0.99776500638569621</v>
      </c>
      <c r="AE24" s="257">
        <f>('[4]EC - Travel Time - Roadway'!$D$74/60)</f>
        <v>0.99776500638569621</v>
      </c>
      <c r="AF24" s="256">
        <f t="shared" si="10"/>
        <v>430.27664992257922</v>
      </c>
      <c r="AG24" s="256">
        <f t="shared" si="10"/>
        <v>88.128952393781347</v>
      </c>
      <c r="AH24" s="257">
        <f t="shared" si="11"/>
        <v>1.1360153749506507</v>
      </c>
      <c r="AI24" s="257">
        <f t="shared" si="11"/>
        <v>0.27829582765668825</v>
      </c>
      <c r="AJ24" s="256">
        <f t="shared" si="12"/>
        <v>459.05793707596354</v>
      </c>
      <c r="AK24" s="262">
        <f t="shared" si="12"/>
        <v>56.228952247445108</v>
      </c>
      <c r="AL24" s="255">
        <f t="shared" si="13"/>
        <v>167556.1470327267</v>
      </c>
      <c r="AM24" s="255">
        <f t="shared" si="13"/>
        <v>20523.567570317464</v>
      </c>
    </row>
    <row r="25" spans="3:39">
      <c r="C25" s="573">
        <v>2037</v>
      </c>
      <c r="D25" s="176">
        <f t="shared" si="14"/>
        <v>16774.939193095262</v>
      </c>
      <c r="E25" s="176">
        <f t="shared" si="15"/>
        <v>13923.199530269067</v>
      </c>
      <c r="F25" s="176">
        <f t="shared" si="19"/>
        <v>2851.7396628261954</v>
      </c>
      <c r="G25" s="255">
        <f t="shared" si="16"/>
        <v>580.13331376121107</v>
      </c>
      <c r="H25" s="255">
        <f t="shared" si="16"/>
        <v>118.82248595109148</v>
      </c>
      <c r="I25" s="256">
        <f t="shared" si="0"/>
        <v>810</v>
      </c>
      <c r="J25" s="256">
        <f t="shared" si="1"/>
        <v>405</v>
      </c>
      <c r="K25" s="257">
        <f>('[4]EC - Travel Time - Roadway'!$D$74/60)</f>
        <v>0.99776500638569621</v>
      </c>
      <c r="L25" s="257">
        <f>('[4]EC - Travel Time - Roadway'!$D$74/60)</f>
        <v>0.99776500638569621</v>
      </c>
      <c r="M25" s="256">
        <f t="shared" si="2"/>
        <v>578.83671950950986</v>
      </c>
      <c r="N25" s="256">
        <f t="shared" si="2"/>
        <v>118.55691845375509</v>
      </c>
      <c r="O25" s="257">
        <f t="shared" si="3"/>
        <v>2.5181409667523798</v>
      </c>
      <c r="P25" s="257">
        <f t="shared" si="3"/>
        <v>0.41427754674496681</v>
      </c>
      <c r="Q25" s="258">
        <f t="shared" si="4"/>
        <v>1017.5677397975674</v>
      </c>
      <c r="R25" s="259">
        <f t="shared" si="4"/>
        <v>83.703706912372084</v>
      </c>
      <c r="S25" s="255">
        <f t="shared" si="5"/>
        <v>371412.22502611211</v>
      </c>
      <c r="T25" s="255">
        <f t="shared" si="5"/>
        <v>30551.85302301581</v>
      </c>
      <c r="U25" s="255"/>
      <c r="V25" s="573">
        <v>2037</v>
      </c>
      <c r="W25" s="176">
        <f t="shared" si="6"/>
        <v>12669.117603825549</v>
      </c>
      <c r="X25" s="176">
        <f t="shared" si="7"/>
        <v>10515.367611175205</v>
      </c>
      <c r="Y25" s="176">
        <f t="shared" si="17"/>
        <v>2153.7499926503447</v>
      </c>
      <c r="Z25" s="255">
        <f t="shared" si="18"/>
        <v>438.1403171323002</v>
      </c>
      <c r="AA25" s="255">
        <f t="shared" si="18"/>
        <v>89.739583027097694</v>
      </c>
      <c r="AB25" s="256">
        <f t="shared" si="8"/>
        <v>810</v>
      </c>
      <c r="AC25" s="256">
        <f t="shared" si="9"/>
        <v>405</v>
      </c>
      <c r="AD25" s="257">
        <f>('[4]EC - Travel Time - Roadway'!$D$74/60)</f>
        <v>0.99776500638569621</v>
      </c>
      <c r="AE25" s="257">
        <f>('[4]EC - Travel Time - Roadway'!$D$74/60)</f>
        <v>0.99776500638569621</v>
      </c>
      <c r="AF25" s="256">
        <f t="shared" si="10"/>
        <v>437.16107632134049</v>
      </c>
      <c r="AG25" s="256">
        <f t="shared" si="10"/>
        <v>89.539015632081842</v>
      </c>
      <c r="AH25" s="257">
        <f t="shared" si="11"/>
        <v>1.1756076188471165</v>
      </c>
      <c r="AI25" s="257">
        <f t="shared" si="11"/>
        <v>0.28401604137882625</v>
      </c>
      <c r="AJ25" s="256">
        <f t="shared" si="12"/>
        <v>475.05695804705687</v>
      </c>
      <c r="AK25" s="262">
        <f t="shared" si="12"/>
        <v>57.384706636346905</v>
      </c>
      <c r="AL25" s="255">
        <f t="shared" si="13"/>
        <v>173395.78968717577</v>
      </c>
      <c r="AM25" s="255">
        <f t="shared" si="13"/>
        <v>20945.417922266621</v>
      </c>
    </row>
    <row r="26" spans="3:39">
      <c r="C26" s="573">
        <v>2038</v>
      </c>
      <c r="D26" s="176">
        <f t="shared" si="14"/>
        <v>17043.338220184785</v>
      </c>
      <c r="E26" s="176">
        <f t="shared" si="15"/>
        <v>14145.970722753371</v>
      </c>
      <c r="F26" s="176">
        <f t="shared" si="19"/>
        <v>2897.3674974314144</v>
      </c>
      <c r="G26" s="255">
        <f t="shared" si="16"/>
        <v>589.41544678139041</v>
      </c>
      <c r="H26" s="255">
        <f t="shared" si="16"/>
        <v>120.72364572630893</v>
      </c>
      <c r="I26" s="256">
        <f t="shared" si="0"/>
        <v>810</v>
      </c>
      <c r="J26" s="256">
        <f t="shared" si="1"/>
        <v>405</v>
      </c>
      <c r="K26" s="257">
        <f>('[4]EC - Travel Time - Roadway'!$D$74/60)</f>
        <v>0.99776500638569621</v>
      </c>
      <c r="L26" s="257">
        <f>('[4]EC - Travel Time - Roadway'!$D$74/60)</f>
        <v>0.99776500638569621</v>
      </c>
      <c r="M26" s="256">
        <f t="shared" si="2"/>
        <v>588.09810702166203</v>
      </c>
      <c r="N26" s="256">
        <f t="shared" si="2"/>
        <v>120.45382914901516</v>
      </c>
      <c r="O26" s="257">
        <f t="shared" si="3"/>
        <v>2.6660892543950228</v>
      </c>
      <c r="P26" s="257">
        <f t="shared" si="3"/>
        <v>0.42372088757352833</v>
      </c>
      <c r="Q26" s="258">
        <f t="shared" si="4"/>
        <v>1077.3528775841958</v>
      </c>
      <c r="R26" s="259">
        <f t="shared" si="4"/>
        <v>85.611709504349761</v>
      </c>
      <c r="S26" s="255">
        <f t="shared" si="5"/>
        <v>393233.80031823146</v>
      </c>
      <c r="T26" s="255">
        <f t="shared" si="5"/>
        <v>31248.273969087662</v>
      </c>
      <c r="U26" s="255"/>
      <c r="V26" s="573">
        <v>2038</v>
      </c>
      <c r="W26" s="176">
        <f t="shared" si="6"/>
        <v>12871.823485486759</v>
      </c>
      <c r="X26" s="176">
        <f t="shared" si="7"/>
        <v>10683.613492954009</v>
      </c>
      <c r="Y26" s="176">
        <f t="shared" si="17"/>
        <v>2188.2099925327502</v>
      </c>
      <c r="Z26" s="255">
        <f t="shared" si="18"/>
        <v>445.15056220641708</v>
      </c>
      <c r="AA26" s="255">
        <f t="shared" si="18"/>
        <v>91.175416355531254</v>
      </c>
      <c r="AB26" s="256">
        <f t="shared" si="8"/>
        <v>810</v>
      </c>
      <c r="AC26" s="256">
        <f t="shared" si="9"/>
        <v>405</v>
      </c>
      <c r="AD26" s="257">
        <f>('[4]EC - Travel Time - Roadway'!$D$74/60)</f>
        <v>0.99776500638569621</v>
      </c>
      <c r="AE26" s="257">
        <f>('[4]EC - Travel Time - Roadway'!$D$74/60)</f>
        <v>0.99776500638569621</v>
      </c>
      <c r="AF26" s="256">
        <f t="shared" si="10"/>
        <v>444.15565354248201</v>
      </c>
      <c r="AG26" s="256">
        <f t="shared" si="10"/>
        <v>90.971639882195149</v>
      </c>
      <c r="AH26" s="257">
        <f t="shared" si="11"/>
        <v>1.2173669671207423</v>
      </c>
      <c r="AI26" s="257">
        <f t="shared" si="11"/>
        <v>0.28988054035070987</v>
      </c>
      <c r="AJ26" s="256">
        <f t="shared" si="12"/>
        <v>491.93169468780007</v>
      </c>
      <c r="AK26" s="262">
        <f t="shared" si="12"/>
        <v>58.569613486808308</v>
      </c>
      <c r="AL26" s="255">
        <f t="shared" si="13"/>
        <v>179555.06856104702</v>
      </c>
      <c r="AM26" s="255">
        <f t="shared" si="13"/>
        <v>21377.908922685034</v>
      </c>
    </row>
    <row r="27" spans="3:39">
      <c r="C27" s="573">
        <v>2039</v>
      </c>
      <c r="D27" s="176">
        <f t="shared" si="14"/>
        <v>17316.031631707741</v>
      </c>
      <c r="E27" s="176">
        <f t="shared" si="15"/>
        <v>14372.306254317424</v>
      </c>
      <c r="F27" s="176">
        <f t="shared" si="19"/>
        <v>2943.7253773903171</v>
      </c>
      <c r="G27" s="255">
        <f t="shared" si="16"/>
        <v>598.84609392989262</v>
      </c>
      <c r="H27" s="255">
        <f t="shared" si="16"/>
        <v>122.65522405792989</v>
      </c>
      <c r="I27" s="256">
        <f t="shared" si="0"/>
        <v>810</v>
      </c>
      <c r="J27" s="256">
        <f t="shared" si="1"/>
        <v>405</v>
      </c>
      <c r="K27" s="257">
        <f>('[4]EC - Travel Time - Roadway'!$D$74/60)</f>
        <v>0.99776500638569621</v>
      </c>
      <c r="L27" s="257">
        <f>('[4]EC - Travel Time - Roadway'!$D$74/60)</f>
        <v>0.99776500638569621</v>
      </c>
      <c r="M27" s="256">
        <f t="shared" si="2"/>
        <v>597.50767673400856</v>
      </c>
      <c r="N27" s="256">
        <f t="shared" si="2"/>
        <v>122.38109041539941</v>
      </c>
      <c r="O27" s="257">
        <f t="shared" si="3"/>
        <v>2.8297258992482188</v>
      </c>
      <c r="P27" s="257">
        <f t="shared" si="3"/>
        <v>0.43344556316674643</v>
      </c>
      <c r="Q27" s="258">
        <f t="shared" si="4"/>
        <v>1143.4775993729336</v>
      </c>
      <c r="R27" s="259">
        <f t="shared" si="4"/>
        <v>87.576555057936389</v>
      </c>
      <c r="S27" s="255">
        <f t="shared" si="5"/>
        <v>417369.32377112075</v>
      </c>
      <c r="T27" s="255">
        <f t="shared" si="5"/>
        <v>31965.442596146782</v>
      </c>
      <c r="U27" s="255"/>
      <c r="V27" s="573">
        <v>2039</v>
      </c>
      <c r="W27" s="176">
        <f t="shared" si="6"/>
        <v>13077.772661254547</v>
      </c>
      <c r="X27" s="176">
        <f t="shared" si="7"/>
        <v>10854.551308841272</v>
      </c>
      <c r="Y27" s="176">
        <f t="shared" si="17"/>
        <v>2223.2213524132744</v>
      </c>
      <c r="Z27" s="255">
        <f t="shared" si="18"/>
        <v>452.27297120171966</v>
      </c>
      <c r="AA27" s="255">
        <f t="shared" si="18"/>
        <v>92.634223017219767</v>
      </c>
      <c r="AB27" s="256">
        <f t="shared" si="8"/>
        <v>810</v>
      </c>
      <c r="AC27" s="256">
        <f t="shared" si="9"/>
        <v>405</v>
      </c>
      <c r="AD27" s="257">
        <f>('[4]EC - Travel Time - Roadway'!$D$74/60)</f>
        <v>0.99776500638569621</v>
      </c>
      <c r="AE27" s="257">
        <f>('[4]EC - Travel Time - Roadway'!$D$74/60)</f>
        <v>0.99776500638569621</v>
      </c>
      <c r="AF27" s="256">
        <f t="shared" si="10"/>
        <v>451.26214399916159</v>
      </c>
      <c r="AG27" s="256">
        <f t="shared" si="10"/>
        <v>92.427186120310282</v>
      </c>
      <c r="AH27" s="257">
        <f t="shared" si="11"/>
        <v>1.2614706400997868</v>
      </c>
      <c r="AI27" s="257">
        <f t="shared" si="11"/>
        <v>0.29589408613545237</v>
      </c>
      <c r="AJ27" s="256">
        <f t="shared" si="12"/>
        <v>509.75376081618555</v>
      </c>
      <c r="AK27" s="262">
        <f t="shared" si="12"/>
        <v>59.784634860341953</v>
      </c>
      <c r="AL27" s="255">
        <f t="shared" si="13"/>
        <v>186060.12269790773</v>
      </c>
      <c r="AM27" s="255">
        <f t="shared" si="13"/>
        <v>21821.391724024812</v>
      </c>
    </row>
    <row r="28" spans="3:39" ht="13.5" thickBot="1">
      <c r="C28" s="269">
        <v>2040</v>
      </c>
      <c r="D28" s="240">
        <f t="shared" si="14"/>
        <v>17593.088137815066</v>
      </c>
      <c r="E28" s="240">
        <f t="shared" si="15"/>
        <v>14602.263154386505</v>
      </c>
      <c r="F28" s="240">
        <f t="shared" si="19"/>
        <v>2990.8249834285621</v>
      </c>
      <c r="G28" s="270">
        <f t="shared" si="16"/>
        <v>608.42763143277102</v>
      </c>
      <c r="H28" s="270">
        <f t="shared" si="16"/>
        <v>124.61770764285676</v>
      </c>
      <c r="I28" s="271">
        <f t="shared" si="0"/>
        <v>810</v>
      </c>
      <c r="J28" s="271">
        <f t="shared" si="1"/>
        <v>405</v>
      </c>
      <c r="K28" s="272">
        <f>('[4]EC - Travel Time - Roadway'!$D$74/60)</f>
        <v>0.99776500638569621</v>
      </c>
      <c r="L28" s="272">
        <f>('[4]EC - Travel Time - Roadway'!$D$74/60)</f>
        <v>0.99776500638569621</v>
      </c>
      <c r="M28" s="271">
        <f t="shared" si="2"/>
        <v>607.06779956175285</v>
      </c>
      <c r="N28" s="271">
        <f t="shared" si="2"/>
        <v>124.33918786204579</v>
      </c>
      <c r="O28" s="272">
        <f t="shared" si="3"/>
        <v>3.0116617861702704</v>
      </c>
      <c r="P28" s="272">
        <f t="shared" si="3"/>
        <v>0.44346305473409126</v>
      </c>
      <c r="Q28" s="273">
        <f t="shared" si="4"/>
        <v>1216.9969502304436</v>
      </c>
      <c r="R28" s="274">
        <f t="shared" si="4"/>
        <v>89.600563321812629</v>
      </c>
      <c r="S28" s="270">
        <f t="shared" si="5"/>
        <v>444203.88683411194</v>
      </c>
      <c r="T28" s="270">
        <f t="shared" si="5"/>
        <v>32704.20561246161</v>
      </c>
      <c r="U28" s="270"/>
      <c r="V28" s="269">
        <v>2040</v>
      </c>
      <c r="W28" s="240">
        <f t="shared" si="6"/>
        <v>13287.01702383462</v>
      </c>
      <c r="X28" s="240">
        <f t="shared" si="7"/>
        <v>11028.224129782733</v>
      </c>
      <c r="Y28" s="240">
        <f t="shared" si="17"/>
        <v>2258.7928940518868</v>
      </c>
      <c r="Z28" s="270">
        <f t="shared" si="18"/>
        <v>459.50933874094721</v>
      </c>
      <c r="AA28" s="270">
        <f t="shared" si="18"/>
        <v>94.116370585495289</v>
      </c>
      <c r="AB28" s="271">
        <f t="shared" si="8"/>
        <v>810</v>
      </c>
      <c r="AC28" s="271">
        <f t="shared" si="9"/>
        <v>405</v>
      </c>
      <c r="AD28" s="272">
        <f>('[4]EC - Travel Time - Roadway'!$D$74/60)</f>
        <v>0.99776500638569621</v>
      </c>
      <c r="AE28" s="272">
        <f>('[4]EC - Travel Time - Roadway'!$D$74/60)</f>
        <v>0.99776500638569621</v>
      </c>
      <c r="AF28" s="271">
        <f t="shared" si="10"/>
        <v>458.48233830314825</v>
      </c>
      <c r="AG28" s="271">
        <f t="shared" si="10"/>
        <v>93.906021098235257</v>
      </c>
      <c r="AH28" s="272">
        <f t="shared" si="11"/>
        <v>1.3081157045844289</v>
      </c>
      <c r="AI28" s="272">
        <f t="shared" si="11"/>
        <v>0.30206164690978077</v>
      </c>
      <c r="AJ28" s="271">
        <f t="shared" si="12"/>
        <v>528.60279010685451</v>
      </c>
      <c r="AK28" s="275">
        <f t="shared" si="12"/>
        <v>61.030774564206794</v>
      </c>
      <c r="AL28" s="270">
        <f t="shared" si="13"/>
        <v>192940.0183890019</v>
      </c>
      <c r="AM28" s="270">
        <f t="shared" si="13"/>
        <v>22276.232715935479</v>
      </c>
    </row>
    <row r="29" spans="3:39">
      <c r="C29" s="230">
        <v>2041</v>
      </c>
      <c r="D29" s="242">
        <f>D28*(1+$B$5)</f>
        <v>17751.425931055401</v>
      </c>
      <c r="E29" s="176">
        <f t="shared" si="15"/>
        <v>14733.683522775982</v>
      </c>
      <c r="F29" s="176">
        <f>F28*(1+$B$5)</f>
        <v>3017.7424082794187</v>
      </c>
      <c r="G29" s="276">
        <f t="shared" si="16"/>
        <v>613.90348011566596</v>
      </c>
      <c r="H29" s="276">
        <f t="shared" si="16"/>
        <v>125.73926701164244</v>
      </c>
      <c r="I29" s="277">
        <f t="shared" si="0"/>
        <v>810</v>
      </c>
      <c r="J29" s="277">
        <f t="shared" si="1"/>
        <v>405</v>
      </c>
      <c r="K29" s="278">
        <f>('[4]EC - Travel Time - Roadway'!$D$74/60)</f>
        <v>0.99776500638569621</v>
      </c>
      <c r="L29" s="278">
        <f>('[4]EC - Travel Time - Roadway'!$D$74/60)</f>
        <v>0.99776500638569621</v>
      </c>
      <c r="M29" s="277">
        <f t="shared" si="2"/>
        <v>612.53140975780855</v>
      </c>
      <c r="N29" s="277">
        <f t="shared" si="2"/>
        <v>125.45824055280418</v>
      </c>
      <c r="O29" s="278">
        <f t="shared" si="3"/>
        <v>3.123622031227812</v>
      </c>
      <c r="P29" s="278">
        <f t="shared" si="3"/>
        <v>0.44925127571742984</v>
      </c>
      <c r="Q29" s="279">
        <f t="shared" si="4"/>
        <v>1262.2395061534803</v>
      </c>
      <c r="R29" s="280">
        <f t="shared" si="4"/>
        <v>90.770058401959176</v>
      </c>
      <c r="S29" s="276">
        <f t="shared" si="5"/>
        <v>460717.41974602028</v>
      </c>
      <c r="T29" s="276">
        <f t="shared" si="5"/>
        <v>33131.071316715097</v>
      </c>
      <c r="U29" s="276"/>
      <c r="V29" s="230">
        <v>2041</v>
      </c>
      <c r="W29" s="242">
        <f>W28*(1+$B$5)</f>
        <v>13406.600177049129</v>
      </c>
      <c r="X29" s="176">
        <f t="shared" si="7"/>
        <v>11127.478146950776</v>
      </c>
      <c r="Y29" s="176">
        <f>Y28*(1+$B$5)</f>
        <v>2279.1220300983537</v>
      </c>
      <c r="Z29" s="276">
        <f t="shared" si="18"/>
        <v>463.64492278961569</v>
      </c>
      <c r="AA29" s="276">
        <f t="shared" si="18"/>
        <v>94.963417920764741</v>
      </c>
      <c r="AB29" s="277">
        <f t="shared" si="8"/>
        <v>810</v>
      </c>
      <c r="AC29" s="277">
        <f t="shared" si="9"/>
        <v>405</v>
      </c>
      <c r="AD29" s="278">
        <f>('[4]EC - Travel Time - Roadway'!$D$74/60)</f>
        <v>0.99776500638569621</v>
      </c>
      <c r="AE29" s="278">
        <f>('[4]EC - Travel Time - Roadway'!$D$74/60)</f>
        <v>0.99776500638569621</v>
      </c>
      <c r="AF29" s="277">
        <f t="shared" si="10"/>
        <v>462.60867934787655</v>
      </c>
      <c r="AG29" s="277">
        <f t="shared" si="10"/>
        <v>94.75117528811937</v>
      </c>
      <c r="AH29" s="278">
        <f t="shared" si="11"/>
        <v>1.3356486155012448</v>
      </c>
      <c r="AI29" s="278">
        <f t="shared" si="11"/>
        <v>0.30561288817170634</v>
      </c>
      <c r="AJ29" s="277">
        <f t="shared" si="12"/>
        <v>539.72869699673163</v>
      </c>
      <c r="AK29" s="281">
        <f t="shared" si="12"/>
        <v>61.74829367693421</v>
      </c>
      <c r="AL29" s="276">
        <f t="shared" si="13"/>
        <v>197000.97440380705</v>
      </c>
      <c r="AM29" s="276">
        <f t="shared" si="13"/>
        <v>22538.127192080985</v>
      </c>
    </row>
    <row r="30" spans="3:39">
      <c r="C30" s="573">
        <v>2042</v>
      </c>
      <c r="D30" s="176">
        <f t="shared" ref="D30:D43" si="20">D29*(1+$B$5)</f>
        <v>17911.188764434897</v>
      </c>
      <c r="E30" s="176">
        <f t="shared" si="15"/>
        <v>14866.286674480963</v>
      </c>
      <c r="F30" s="176">
        <f t="shared" ref="F30:F43" si="21">F29*(1+$B$5)</f>
        <v>3044.9020899539332</v>
      </c>
      <c r="G30" s="255">
        <f t="shared" si="16"/>
        <v>619.42861143670677</v>
      </c>
      <c r="H30" s="255">
        <f t="shared" si="16"/>
        <v>126.87092041474722</v>
      </c>
      <c r="I30" s="256">
        <f t="shared" si="0"/>
        <v>810</v>
      </c>
      <c r="J30" s="256">
        <f t="shared" si="1"/>
        <v>405</v>
      </c>
      <c r="K30" s="257">
        <f>('[4]EC - Travel Time - Roadway'!$D$74/60)</f>
        <v>0.99776500638569621</v>
      </c>
      <c r="L30" s="257">
        <f>('[4]EC - Travel Time - Roadway'!$D$74/60)</f>
        <v>0.99776500638569621</v>
      </c>
      <c r="M30" s="256">
        <f t="shared" si="2"/>
        <v>618.04419244562871</v>
      </c>
      <c r="N30" s="256">
        <f t="shared" si="2"/>
        <v>126.58736471777941</v>
      </c>
      <c r="O30" s="257">
        <f t="shared" si="3"/>
        <v>3.2431111359634226</v>
      </c>
      <c r="P30" s="257">
        <f t="shared" si="3"/>
        <v>0.4551389049521431</v>
      </c>
      <c r="Q30" s="258">
        <f t="shared" si="4"/>
        <v>1310.5244353300473</v>
      </c>
      <c r="R30" s="259">
        <f t="shared" si="4"/>
        <v>91.959638662205649</v>
      </c>
      <c r="S30" s="255">
        <f t="shared" si="5"/>
        <v>478341.41889546724</v>
      </c>
      <c r="T30" s="255">
        <f t="shared" si="5"/>
        <v>33565.26811170506</v>
      </c>
      <c r="U30" s="255"/>
      <c r="V30" s="573">
        <v>2042</v>
      </c>
      <c r="W30" s="176">
        <f t="shared" ref="W30:W43" si="22">W29*(1+$B$5)</f>
        <v>13527.25957864257</v>
      </c>
      <c r="X30" s="176">
        <f t="shared" si="7"/>
        <v>11227.625450273332</v>
      </c>
      <c r="Y30" s="176">
        <f t="shared" ref="Y30:Y43" si="23">Y29*(1+$B$5)</f>
        <v>2299.6341283692386</v>
      </c>
      <c r="Z30" s="255">
        <f t="shared" si="18"/>
        <v>467.81772709472216</v>
      </c>
      <c r="AA30" s="255">
        <f t="shared" si="18"/>
        <v>95.818088682051609</v>
      </c>
      <c r="AB30" s="256">
        <f t="shared" si="8"/>
        <v>810</v>
      </c>
      <c r="AC30" s="256">
        <f t="shared" si="9"/>
        <v>405</v>
      </c>
      <c r="AD30" s="257">
        <f>('[4]EC - Travel Time - Roadway'!$D$74/60)</f>
        <v>0.99776500638569621</v>
      </c>
      <c r="AE30" s="257">
        <f>('[4]EC - Travel Time - Roadway'!$D$74/60)</f>
        <v>0.99776500638569621</v>
      </c>
      <c r="AF30" s="256">
        <f t="shared" si="10"/>
        <v>466.77215746200733</v>
      </c>
      <c r="AG30" s="256">
        <f t="shared" si="10"/>
        <v>95.60393586571243</v>
      </c>
      <c r="AH30" s="257">
        <f t="shared" si="11"/>
        <v>1.3641038546471347</v>
      </c>
      <c r="AI30" s="257">
        <f t="shared" si="11"/>
        <v>0.30921581232932399</v>
      </c>
      <c r="AJ30" s="256">
        <f t="shared" si="12"/>
        <v>551.22731195331426</v>
      </c>
      <c r="AK30" s="262">
        <f t="shared" si="12"/>
        <v>62.476255185073562</v>
      </c>
      <c r="AL30" s="255">
        <f t="shared" si="13"/>
        <v>201197.96886295971</v>
      </c>
      <c r="AM30" s="255">
        <f t="shared" si="13"/>
        <v>22803.833142551852</v>
      </c>
    </row>
    <row r="31" spans="3:39">
      <c r="C31" s="573">
        <v>2043</v>
      </c>
      <c r="D31" s="176">
        <f t="shared" si="20"/>
        <v>18072.389463314808</v>
      </c>
      <c r="E31" s="176">
        <f t="shared" si="15"/>
        <v>15000.083254551289</v>
      </c>
      <c r="F31" s="176">
        <f t="shared" si="21"/>
        <v>3072.3062087635185</v>
      </c>
      <c r="G31" s="255">
        <f t="shared" si="16"/>
        <v>625.00346893963706</v>
      </c>
      <c r="H31" s="255">
        <f t="shared" si="16"/>
        <v>128.01275869847993</v>
      </c>
      <c r="I31" s="256">
        <f t="shared" si="0"/>
        <v>810</v>
      </c>
      <c r="J31" s="256">
        <f t="shared" si="1"/>
        <v>405</v>
      </c>
      <c r="K31" s="257">
        <f>('[4]EC - Travel Time - Roadway'!$D$74/60)</f>
        <v>0.99776500638569621</v>
      </c>
      <c r="L31" s="257">
        <f>('[4]EC - Travel Time - Roadway'!$D$74/60)</f>
        <v>0.99776500638569621</v>
      </c>
      <c r="M31" s="256">
        <f t="shared" si="2"/>
        <v>623.6065901776393</v>
      </c>
      <c r="N31" s="256">
        <f t="shared" si="2"/>
        <v>127.72665100023941</v>
      </c>
      <c r="O31" s="257">
        <f t="shared" si="3"/>
        <v>3.3709096414038235</v>
      </c>
      <c r="P31" s="257">
        <f t="shared" si="3"/>
        <v>0.46112828302152731</v>
      </c>
      <c r="Q31" s="258">
        <f t="shared" si="4"/>
        <v>1362.1671503517609</v>
      </c>
      <c r="R31" s="259">
        <f>0.5*L31*H31*(L31+P31)</f>
        <v>93.169777011353858</v>
      </c>
      <c r="S31" s="255">
        <f t="shared" si="5"/>
        <v>497191.00987839274</v>
      </c>
      <c r="T31" s="255">
        <f t="shared" si="5"/>
        <v>34006.968609144162</v>
      </c>
      <c r="U31" s="255"/>
      <c r="V31" s="573">
        <v>2043</v>
      </c>
      <c r="W31" s="176">
        <f t="shared" si="22"/>
        <v>13649.004914850351</v>
      </c>
      <c r="X31" s="176">
        <f t="shared" si="7"/>
        <v>11328.674079325789</v>
      </c>
      <c r="Y31" s="176">
        <f t="shared" si="23"/>
        <v>2320.3308355245617</v>
      </c>
      <c r="Z31" s="255">
        <f t="shared" si="18"/>
        <v>472.02808663857451</v>
      </c>
      <c r="AA31" s="255">
        <f t="shared" si="18"/>
        <v>96.680451480190072</v>
      </c>
      <c r="AB31" s="256">
        <f t="shared" si="8"/>
        <v>810</v>
      </c>
      <c r="AC31" s="256">
        <f t="shared" si="9"/>
        <v>405</v>
      </c>
      <c r="AD31" s="257">
        <f>('[4]EC - Travel Time - Roadway'!$D$74/60)</f>
        <v>0.99776500638569621</v>
      </c>
      <c r="AE31" s="257">
        <f>('[4]EC - Travel Time - Roadway'!$D$74/60)</f>
        <v>0.99776500638569621</v>
      </c>
      <c r="AF31" s="256">
        <f t="shared" si="10"/>
        <v>470.97310687916524</v>
      </c>
      <c r="AG31" s="256">
        <f t="shared" si="10"/>
        <v>96.464371288503841</v>
      </c>
      <c r="AH31" s="257">
        <f t="shared" si="11"/>
        <v>1.3935273561489974</v>
      </c>
      <c r="AI31" s="257">
        <f t="shared" si="11"/>
        <v>0.31287140809466346</v>
      </c>
      <c r="AJ31" s="256">
        <f t="shared" si="12"/>
        <v>563.11719671969195</v>
      </c>
      <c r="AK31" s="262">
        <f t="shared" si="12"/>
        <v>63.214858855333418</v>
      </c>
      <c r="AL31" s="255">
        <f t="shared" si="13"/>
        <v>205537.77680268756</v>
      </c>
      <c r="AM31" s="255">
        <f t="shared" si="13"/>
        <v>23073.423482196697</v>
      </c>
    </row>
    <row r="32" spans="3:39">
      <c r="C32" s="573">
        <v>2044</v>
      </c>
      <c r="D32" s="176">
        <f t="shared" si="20"/>
        <v>18235.040968484638</v>
      </c>
      <c r="E32" s="176">
        <f t="shared" si="15"/>
        <v>15135.084003842248</v>
      </c>
      <c r="F32" s="176">
        <f t="shared" si="21"/>
        <v>3099.9569646423897</v>
      </c>
      <c r="G32" s="255">
        <f t="shared" si="16"/>
        <v>630.62850016009372</v>
      </c>
      <c r="H32" s="255">
        <f t="shared" si="16"/>
        <v>129.16487352676623</v>
      </c>
      <c r="I32" s="256">
        <f t="shared" si="0"/>
        <v>810</v>
      </c>
      <c r="J32" s="256">
        <f t="shared" si="1"/>
        <v>405</v>
      </c>
      <c r="K32" s="257">
        <f>('[4]EC - Travel Time - Roadway'!$D$74/60)</f>
        <v>0.99776500638569621</v>
      </c>
      <c r="L32" s="257">
        <f>('[4]EC - Travel Time - Roadway'!$D$74/60)</f>
        <v>0.99776500638569621</v>
      </c>
      <c r="M32" s="256">
        <f t="shared" si="2"/>
        <v>629.21904948923793</v>
      </c>
      <c r="N32" s="256">
        <f t="shared" si="2"/>
        <v>128.87619085924155</v>
      </c>
      <c r="O32" s="257">
        <f t="shared" si="3"/>
        <v>3.5079098410328968</v>
      </c>
      <c r="P32" s="257">
        <f t="shared" si="3"/>
        <v>0.46722182380113686</v>
      </c>
      <c r="Q32" s="258">
        <f t="shared" si="4"/>
        <v>1417.5282224001471</v>
      </c>
      <c r="R32" s="259">
        <f t="shared" si="4"/>
        <v>94.400961166716797</v>
      </c>
      <c r="S32" s="255">
        <f t="shared" si="5"/>
        <v>517397.8011760537</v>
      </c>
      <c r="T32" s="255">
        <f t="shared" si="5"/>
        <v>34456.35082585163</v>
      </c>
      <c r="U32" s="255"/>
      <c r="V32" s="573">
        <v>2044</v>
      </c>
      <c r="W32" s="176">
        <f t="shared" si="22"/>
        <v>13771.845959084003</v>
      </c>
      <c r="X32" s="176">
        <f t="shared" si="7"/>
        <v>11430.632146039719</v>
      </c>
      <c r="Y32" s="176">
        <f t="shared" si="23"/>
        <v>2341.2138130442827</v>
      </c>
      <c r="Z32" s="255">
        <f t="shared" si="18"/>
        <v>476.27633941832164</v>
      </c>
      <c r="AA32" s="255">
        <f t="shared" si="18"/>
        <v>97.550575543511783</v>
      </c>
      <c r="AB32" s="256">
        <f t="shared" si="8"/>
        <v>810</v>
      </c>
      <c r="AC32" s="256">
        <f t="shared" si="9"/>
        <v>405</v>
      </c>
      <c r="AD32" s="257">
        <f>('[4]EC - Travel Time - Roadway'!$D$74/60)</f>
        <v>0.99776500638569621</v>
      </c>
      <c r="AE32" s="257">
        <f>('[4]EC - Travel Time - Roadway'!$D$74/60)</f>
        <v>0.99776500638569621</v>
      </c>
      <c r="AF32" s="256">
        <f t="shared" si="10"/>
        <v>475.21186484107773</v>
      </c>
      <c r="AG32" s="256">
        <f t="shared" si="10"/>
        <v>97.332550630100371</v>
      </c>
      <c r="AH32" s="257">
        <f t="shared" si="11"/>
        <v>1.4239681538096107</v>
      </c>
      <c r="AI32" s="257">
        <f t="shared" si="11"/>
        <v>0.31658068900979636</v>
      </c>
      <c r="AJ32" s="256">
        <f t="shared" si="12"/>
        <v>575.41816560194411</v>
      </c>
      <c r="AK32" s="262">
        <f t="shared" si="12"/>
        <v>63.96430947126813</v>
      </c>
      <c r="AL32" s="255">
        <f t="shared" si="13"/>
        <v>210027.63044470959</v>
      </c>
      <c r="AM32" s="255">
        <f t="shared" si="13"/>
        <v>23346.972957012869</v>
      </c>
    </row>
    <row r="33" spans="3:39">
      <c r="C33" s="263">
        <v>2045</v>
      </c>
      <c r="D33" s="237">
        <f t="shared" si="20"/>
        <v>18399.156337200999</v>
      </c>
      <c r="E33" s="237">
        <f t="shared" si="15"/>
        <v>15271.299759876827</v>
      </c>
      <c r="F33" s="237">
        <f t="shared" si="21"/>
        <v>3127.8565773241708</v>
      </c>
      <c r="G33" s="255">
        <f t="shared" si="16"/>
        <v>636.30415666153442</v>
      </c>
      <c r="H33" s="255">
        <f t="shared" si="16"/>
        <v>130.32735738850712</v>
      </c>
      <c r="I33" s="256">
        <f t="shared" si="0"/>
        <v>810</v>
      </c>
      <c r="J33" s="256">
        <f t="shared" si="1"/>
        <v>405</v>
      </c>
      <c r="K33" s="257">
        <f>('[4]EC - Travel Time - Roadway'!$D$74/60)</f>
        <v>0.99776500638569621</v>
      </c>
      <c r="L33" s="257">
        <f>('[4]EC - Travel Time - Roadway'!$D$74/60)</f>
        <v>0.99776500638569621</v>
      </c>
      <c r="M33" s="256">
        <f t="shared" si="2"/>
        <v>634.88202093464088</v>
      </c>
      <c r="N33" s="256">
        <f t="shared" si="2"/>
        <v>130.03607657697472</v>
      </c>
      <c r="O33" s="257">
        <f t="shared" si="3"/>
        <v>3.6551365233162372</v>
      </c>
      <c r="P33" s="257">
        <f t="shared" si="3"/>
        <v>0.47342201735359046</v>
      </c>
      <c r="Q33" s="264">
        <f t="shared" si="4"/>
        <v>1477.0217631935229</v>
      </c>
      <c r="R33" s="265">
        <f t="shared" si="4"/>
        <v>95.653694239006697</v>
      </c>
      <c r="S33" s="266">
        <f t="shared" si="5"/>
        <v>539112.94356563583</v>
      </c>
      <c r="T33" s="266">
        <f t="shared" si="5"/>
        <v>34913.598397237445</v>
      </c>
      <c r="U33" s="266"/>
      <c r="V33" s="263">
        <v>2045</v>
      </c>
      <c r="W33" s="237">
        <f t="shared" si="22"/>
        <v>13895.792572715758</v>
      </c>
      <c r="X33" s="237">
        <f t="shared" si="7"/>
        <v>11533.507835354078</v>
      </c>
      <c r="Y33" s="237">
        <f t="shared" si="23"/>
        <v>2362.284737361681</v>
      </c>
      <c r="Z33" s="255">
        <f t="shared" si="18"/>
        <v>480.56282647308655</v>
      </c>
      <c r="AA33" s="255">
        <f t="shared" si="18"/>
        <v>98.42853072340337</v>
      </c>
      <c r="AB33" s="256">
        <f t="shared" si="8"/>
        <v>810</v>
      </c>
      <c r="AC33" s="256">
        <f t="shared" si="9"/>
        <v>405</v>
      </c>
      <c r="AD33" s="257">
        <f>('[4]EC - Travel Time - Roadway'!$D$74/60)</f>
        <v>0.99776500638569621</v>
      </c>
      <c r="AE33" s="257">
        <f>('[4]EC - Travel Time - Roadway'!$D$74/60)</f>
        <v>0.99776500638569621</v>
      </c>
      <c r="AF33" s="256">
        <f t="shared" si="10"/>
        <v>479.48877162464743</v>
      </c>
      <c r="AG33" s="256">
        <f t="shared" si="10"/>
        <v>98.208543585771253</v>
      </c>
      <c r="AH33" s="257">
        <f t="shared" si="11"/>
        <v>1.4554786470855738</v>
      </c>
      <c r="AI33" s="257">
        <f t="shared" si="11"/>
        <v>0.32034469423234224</v>
      </c>
      <c r="AJ33" s="267">
        <f t="shared" si="12"/>
        <v>588.15139294945072</v>
      </c>
      <c r="AK33" s="268">
        <f t="shared" si="12"/>
        <v>64.724816991987268</v>
      </c>
      <c r="AL33" s="266">
        <f t="shared" si="13"/>
        <v>214675.25842654952</v>
      </c>
      <c r="AM33" s="266">
        <f t="shared" si="13"/>
        <v>23624.558202075354</v>
      </c>
    </row>
    <row r="34" spans="3:39">
      <c r="C34" s="573">
        <v>2046</v>
      </c>
      <c r="D34" s="176">
        <f t="shared" si="20"/>
        <v>18564.748744235807</v>
      </c>
      <c r="E34" s="176">
        <f t="shared" si="15"/>
        <v>15408.74145771572</v>
      </c>
      <c r="F34" s="176">
        <f t="shared" si="21"/>
        <v>3156.0072865200877</v>
      </c>
      <c r="G34" s="255">
        <f t="shared" si="16"/>
        <v>642.03089407148832</v>
      </c>
      <c r="H34" s="255">
        <f t="shared" si="16"/>
        <v>131.50030360500367</v>
      </c>
      <c r="I34" s="256">
        <f t="shared" si="0"/>
        <v>810</v>
      </c>
      <c r="J34" s="256">
        <f t="shared" si="1"/>
        <v>405</v>
      </c>
      <c r="K34" s="257">
        <f>('[4]EC - Travel Time - Roadway'!$D$74/60)</f>
        <v>0.99776500638569621</v>
      </c>
      <c r="L34" s="257">
        <f>('[4]EC - Travel Time - Roadway'!$D$74/60)</f>
        <v>0.99776500638569621</v>
      </c>
      <c r="M34" s="256">
        <f t="shared" si="2"/>
        <v>640.59595912305281</v>
      </c>
      <c r="N34" s="256">
        <f t="shared" si="2"/>
        <v>131.20640126616746</v>
      </c>
      <c r="O34" s="257">
        <f t="shared" si="3"/>
        <v>3.8137725124029238</v>
      </c>
      <c r="P34" s="257">
        <f t="shared" si="3"/>
        <v>0.47973143296172177</v>
      </c>
      <c r="Q34" s="258">
        <f t="shared" si="4"/>
        <v>1541.1257458524751</v>
      </c>
      <c r="R34" s="259">
        <f t="shared" si="4"/>
        <v>96.928495345175492</v>
      </c>
      <c r="S34" s="255">
        <f t="shared" si="5"/>
        <v>562510.89723615337</v>
      </c>
      <c r="T34" s="255">
        <f t="shared" si="5"/>
        <v>35378.900800989053</v>
      </c>
      <c r="U34" s="255"/>
      <c r="V34" s="573">
        <v>2046</v>
      </c>
      <c r="W34" s="176">
        <f t="shared" si="22"/>
        <v>14020.854705870199</v>
      </c>
      <c r="X34" s="176">
        <f t="shared" si="7"/>
        <v>11637.309405872264</v>
      </c>
      <c r="Y34" s="176">
        <f t="shared" si="23"/>
        <v>2383.5452999979357</v>
      </c>
      <c r="Z34" s="255">
        <f t="shared" si="18"/>
        <v>484.8878919113443</v>
      </c>
      <c r="AA34" s="255">
        <f t="shared" si="18"/>
        <v>99.314387499913991</v>
      </c>
      <c r="AB34" s="256">
        <f t="shared" si="8"/>
        <v>810</v>
      </c>
      <c r="AC34" s="256">
        <f t="shared" si="9"/>
        <v>405</v>
      </c>
      <c r="AD34" s="257">
        <f>('[4]EC - Travel Time - Roadway'!$D$74/60)</f>
        <v>0.99776500638569621</v>
      </c>
      <c r="AE34" s="257">
        <f>('[4]EC - Travel Time - Roadway'!$D$74/60)</f>
        <v>0.99776500638569621</v>
      </c>
      <c r="AF34" s="256">
        <f t="shared" si="10"/>
        <v>483.80417056926922</v>
      </c>
      <c r="AG34" s="256">
        <f t="shared" si="10"/>
        <v>99.092420478043195</v>
      </c>
      <c r="AH34" s="257">
        <f t="shared" si="11"/>
        <v>1.4881148949313796</v>
      </c>
      <c r="AI34" s="257">
        <f t="shared" si="11"/>
        <v>0.32416448935101688</v>
      </c>
      <c r="AJ34" s="256">
        <f t="shared" si="12"/>
        <v>601.33953189576232</v>
      </c>
      <c r="AK34" s="262">
        <f t="shared" si="12"/>
        <v>65.496596716934988</v>
      </c>
      <c r="AL34" s="255">
        <f t="shared" si="13"/>
        <v>219488.92914195324</v>
      </c>
      <c r="AM34" s="255">
        <f t="shared" si="13"/>
        <v>23906.257801681269</v>
      </c>
    </row>
    <row r="35" spans="3:39">
      <c r="C35" s="573">
        <v>2047</v>
      </c>
      <c r="D35" s="176">
        <f t="shared" si="20"/>
        <v>18731.831482933929</v>
      </c>
      <c r="E35" s="176">
        <f t="shared" si="15"/>
        <v>15547.42013083516</v>
      </c>
      <c r="F35" s="176">
        <f t="shared" si="21"/>
        <v>3184.411352098768</v>
      </c>
      <c r="G35" s="255">
        <f t="shared" si="16"/>
        <v>647.80917211813164</v>
      </c>
      <c r="H35" s="255">
        <f t="shared" si="16"/>
        <v>132.68380633744866</v>
      </c>
      <c r="I35" s="256">
        <f t="shared" si="0"/>
        <v>810</v>
      </c>
      <c r="J35" s="256">
        <f t="shared" si="1"/>
        <v>405</v>
      </c>
      <c r="K35" s="257">
        <f>('[4]EC - Travel Time - Roadway'!$D$74/60)</f>
        <v>0.99776500638569621</v>
      </c>
      <c r="L35" s="257">
        <f>('[4]EC - Travel Time - Roadway'!$D$74/60)</f>
        <v>0.99776500638569621</v>
      </c>
      <c r="M35" s="256">
        <f t="shared" si="2"/>
        <v>646.36132275516024</v>
      </c>
      <c r="N35" s="256">
        <f t="shared" si="2"/>
        <v>132.38725887756294</v>
      </c>
      <c r="O35" s="257">
        <f t="shared" si="3"/>
        <v>3.9851903538339255</v>
      </c>
      <c r="P35" s="257">
        <f t="shared" si="3"/>
        <v>0.48615272230785711</v>
      </c>
      <c r="Q35" s="258">
        <f t="shared" si="4"/>
        <v>1610.3948089307353</v>
      </c>
      <c r="R35" s="259">
        <f t="shared" si="4"/>
        <v>98.225900250779333</v>
      </c>
      <c r="S35" s="255">
        <f t="shared" si="5"/>
        <v>587794.10525971837</v>
      </c>
      <c r="T35" s="255">
        <f t="shared" si="5"/>
        <v>35852.453591534453</v>
      </c>
      <c r="U35" s="255"/>
      <c r="V35" s="573">
        <v>2047</v>
      </c>
      <c r="W35" s="176">
        <f t="shared" si="22"/>
        <v>14147.04239822303</v>
      </c>
      <c r="X35" s="176">
        <f t="shared" si="7"/>
        <v>11742.045190525112</v>
      </c>
      <c r="Y35" s="176">
        <f t="shared" si="23"/>
        <v>2404.997207697917</v>
      </c>
      <c r="Z35" s="255">
        <f t="shared" si="18"/>
        <v>489.25188293854632</v>
      </c>
      <c r="AA35" s="255">
        <f t="shared" si="18"/>
        <v>100.20821698741321</v>
      </c>
      <c r="AB35" s="256">
        <f t="shared" si="8"/>
        <v>810</v>
      </c>
      <c r="AC35" s="256">
        <f t="shared" si="9"/>
        <v>405</v>
      </c>
      <c r="AD35" s="257">
        <f>('[4]EC - Travel Time - Roadway'!$D$74/60)</f>
        <v>0.99776500638569621</v>
      </c>
      <c r="AE35" s="257">
        <f>('[4]EC - Travel Time - Roadway'!$D$74/60)</f>
        <v>0.99776500638569621</v>
      </c>
      <c r="AF35" s="256">
        <f t="shared" si="10"/>
        <v>488.15840810439255</v>
      </c>
      <c r="AG35" s="256">
        <f t="shared" si="10"/>
        <v>99.984252262345578</v>
      </c>
      <c r="AH35" s="257">
        <f t="shared" si="11"/>
        <v>1.5219369409762238</v>
      </c>
      <c r="AI35" s="257">
        <f t="shared" si="11"/>
        <v>0.32804116723257132</v>
      </c>
      <c r="AJ35" s="256">
        <f t="shared" si="12"/>
        <v>615.00684576086644</v>
      </c>
      <c r="AK35" s="262">
        <f t="shared" si="12"/>
        <v>66.279869457011998</v>
      </c>
      <c r="AL35" s="255">
        <f t="shared" si="13"/>
        <v>224477.49870271626</v>
      </c>
      <c r="AM35" s="255">
        <f t="shared" si="13"/>
        <v>24192.152351809378</v>
      </c>
    </row>
    <row r="36" spans="3:39">
      <c r="C36" s="573">
        <v>2048</v>
      </c>
      <c r="D36" s="176">
        <f t="shared" si="20"/>
        <v>18900.417966280333</v>
      </c>
      <c r="E36" s="176">
        <f t="shared" si="15"/>
        <v>15687.346912012676</v>
      </c>
      <c r="F36" s="176">
        <f t="shared" si="21"/>
        <v>3213.0710542676566</v>
      </c>
      <c r="G36" s="255">
        <f t="shared" si="16"/>
        <v>653.63945466719485</v>
      </c>
      <c r="H36" s="255">
        <f t="shared" si="16"/>
        <v>133.8779605944857</v>
      </c>
      <c r="I36" s="256">
        <f t="shared" si="0"/>
        <v>810</v>
      </c>
      <c r="J36" s="256">
        <f t="shared" si="1"/>
        <v>405</v>
      </c>
      <c r="K36" s="257">
        <f>('[4]EC - Travel Time - Roadway'!$D$74/60)</f>
        <v>0.99776500638569621</v>
      </c>
      <c r="L36" s="257">
        <f>('[4]EC - Travel Time - Roadway'!$D$74/60)</f>
        <v>0.99776500638569621</v>
      </c>
      <c r="M36" s="256">
        <f t="shared" si="2"/>
        <v>652.17857465995667</v>
      </c>
      <c r="N36" s="256">
        <f t="shared" si="2"/>
        <v>133.578744207461</v>
      </c>
      <c r="O36" s="257">
        <f t="shared" si="3"/>
        <v>4.1709919421925079</v>
      </c>
      <c r="P36" s="257">
        <f t="shared" si="3"/>
        <v>0.49268862280749043</v>
      </c>
      <c r="Q36" s="258">
        <f t="shared" si="4"/>
        <v>1685.4762697437402</v>
      </c>
      <c r="R36" s="259">
        <f t="shared" si="4"/>
        <v>99.546462043539307</v>
      </c>
      <c r="S36" s="255">
        <f t="shared" si="5"/>
        <v>615198.83845646516</v>
      </c>
      <c r="T36" s="255">
        <f t="shared" si="5"/>
        <v>36334.458645891849</v>
      </c>
      <c r="U36" s="255"/>
      <c r="V36" s="573">
        <v>2048</v>
      </c>
      <c r="W36" s="176">
        <f t="shared" si="22"/>
        <v>14274.365779807036</v>
      </c>
      <c r="X36" s="176">
        <f t="shared" si="7"/>
        <v>11847.723597239838</v>
      </c>
      <c r="Y36" s="176">
        <f t="shared" si="23"/>
        <v>2426.6421825671982</v>
      </c>
      <c r="Z36" s="255">
        <f t="shared" si="18"/>
        <v>493.65514988499325</v>
      </c>
      <c r="AA36" s="255">
        <f t="shared" si="18"/>
        <v>101.11009094029993</v>
      </c>
      <c r="AB36" s="256">
        <f t="shared" si="8"/>
        <v>810</v>
      </c>
      <c r="AC36" s="256">
        <f t="shared" si="9"/>
        <v>405</v>
      </c>
      <c r="AD36" s="257">
        <f>('[4]EC - Travel Time - Roadway'!$D$74/60)</f>
        <v>0.99776500638569621</v>
      </c>
      <c r="AE36" s="257">
        <f>('[4]EC - Travel Time - Roadway'!$D$74/60)</f>
        <v>0.99776500638569621</v>
      </c>
      <c r="AF36" s="256">
        <f t="shared" si="10"/>
        <v>492.55183377733209</v>
      </c>
      <c r="AG36" s="256">
        <f t="shared" si="10"/>
        <v>100.88411053270669</v>
      </c>
      <c r="AH36" s="257">
        <f t="shared" si="11"/>
        <v>1.5570091740019334</v>
      </c>
      <c r="AI36" s="257">
        <f t="shared" si="11"/>
        <v>0.33197584890154319</v>
      </c>
      <c r="AJ36" s="256">
        <f t="shared" si="12"/>
        <v>629.17935371845374</v>
      </c>
      <c r="AK36" s="262">
        <f t="shared" si="12"/>
        <v>67.074861712326893</v>
      </c>
      <c r="AL36" s="255">
        <f t="shared" si="13"/>
        <v>229650.4641072356</v>
      </c>
      <c r="AM36" s="255">
        <f t="shared" si="13"/>
        <v>24482.324524999316</v>
      </c>
    </row>
    <row r="37" spans="3:39">
      <c r="C37" s="573">
        <v>2049</v>
      </c>
      <c r="D37" s="176">
        <f t="shared" si="20"/>
        <v>19070.521727976855</v>
      </c>
      <c r="E37" s="176">
        <f t="shared" si="15"/>
        <v>15828.533034220789</v>
      </c>
      <c r="F37" s="176">
        <f t="shared" si="21"/>
        <v>3241.988693756065</v>
      </c>
      <c r="G37" s="255">
        <f t="shared" si="16"/>
        <v>659.52220975919954</v>
      </c>
      <c r="H37" s="255">
        <f t="shared" si="16"/>
        <v>135.08286223983603</v>
      </c>
      <c r="I37" s="256">
        <f t="shared" si="0"/>
        <v>810</v>
      </c>
      <c r="J37" s="256">
        <f t="shared" si="1"/>
        <v>405</v>
      </c>
      <c r="K37" s="257">
        <f>('[4]EC - Travel Time - Roadway'!$D$74/60)</f>
        <v>0.99776500638569621</v>
      </c>
      <c r="L37" s="257">
        <f>('[4]EC - Travel Time - Roadway'!$D$74/60)</f>
        <v>0.99776500638569621</v>
      </c>
      <c r="M37" s="256">
        <f t="shared" si="2"/>
        <v>658.04818183189616</v>
      </c>
      <c r="N37" s="256">
        <f t="shared" si="2"/>
        <v>134.78095290532812</v>
      </c>
      <c r="O37" s="257">
        <f t="shared" si="3"/>
        <v>4.3730585143419614</v>
      </c>
      <c r="P37" s="257">
        <f t="shared" si="3"/>
        <v>0.49934196110618329</v>
      </c>
      <c r="Q37" s="258">
        <f t="shared" si="4"/>
        <v>1767.1303263774093</v>
      </c>
      <c r="R37" s="259">
        <f t="shared" si="4"/>
        <v>100.89075183988081</v>
      </c>
      <c r="S37" s="255">
        <f t="shared" si="5"/>
        <v>645002.56912775442</v>
      </c>
      <c r="T37" s="255">
        <f t="shared" si="5"/>
        <v>36825.124421556495</v>
      </c>
      <c r="U37" s="255"/>
      <c r="V37" s="573">
        <v>2049</v>
      </c>
      <c r="W37" s="176">
        <f t="shared" si="22"/>
        <v>14402.835071825299</v>
      </c>
      <c r="X37" s="176">
        <f t="shared" si="7"/>
        <v>11954.353109614996</v>
      </c>
      <c r="Y37" s="176">
        <f t="shared" si="23"/>
        <v>2448.4819622103028</v>
      </c>
      <c r="Z37" s="255">
        <f t="shared" si="18"/>
        <v>498.0980462339582</v>
      </c>
      <c r="AA37" s="255">
        <f t="shared" si="18"/>
        <v>102.02008175876261</v>
      </c>
      <c r="AB37" s="256">
        <f t="shared" si="8"/>
        <v>810</v>
      </c>
      <c r="AC37" s="256">
        <f t="shared" si="9"/>
        <v>405</v>
      </c>
      <c r="AD37" s="257">
        <f>('[4]EC - Travel Time - Roadway'!$D$74/60)</f>
        <v>0.99776500638569621</v>
      </c>
      <c r="AE37" s="257">
        <f>('[4]EC - Travel Time - Roadway'!$D$74/60)</f>
        <v>0.99776500638569621</v>
      </c>
      <c r="AF37" s="256">
        <f t="shared" si="10"/>
        <v>496.98480028132809</v>
      </c>
      <c r="AG37" s="256">
        <f t="shared" si="10"/>
        <v>101.79206752750103</v>
      </c>
      <c r="AH37" s="257">
        <f t="shared" si="11"/>
        <v>1.5934007282753901</v>
      </c>
      <c r="AI37" s="257">
        <f t="shared" si="11"/>
        <v>0.33596968445430958</v>
      </c>
      <c r="AJ37" s="256">
        <f t="shared" si="12"/>
        <v>643.88499256818034</v>
      </c>
      <c r="AK37" s="262">
        <f t="shared" si="12"/>
        <v>67.881805856878287</v>
      </c>
      <c r="AL37" s="255">
        <f t="shared" si="13"/>
        <v>235018.02228738583</v>
      </c>
      <c r="AM37" s="255">
        <f t="shared" si="13"/>
        <v>24776.859137760574</v>
      </c>
    </row>
    <row r="38" spans="3:39">
      <c r="C38" s="573">
        <v>2050</v>
      </c>
      <c r="D38" s="176">
        <f t="shared" si="20"/>
        <v>19242.156423528646</v>
      </c>
      <c r="E38" s="176">
        <f t="shared" si="15"/>
        <v>15970.989831528777</v>
      </c>
      <c r="F38" s="176">
        <f t="shared" si="21"/>
        <v>3271.1665919998691</v>
      </c>
      <c r="G38" s="255">
        <f t="shared" si="16"/>
        <v>665.45790964703235</v>
      </c>
      <c r="H38" s="255">
        <f t="shared" si="16"/>
        <v>136.29860799999454</v>
      </c>
      <c r="I38" s="256">
        <f t="shared" si="0"/>
        <v>810</v>
      </c>
      <c r="J38" s="256">
        <f t="shared" si="1"/>
        <v>405</v>
      </c>
      <c r="K38" s="257">
        <f>('[4]EC - Travel Time - Roadway'!$D$74/60)</f>
        <v>0.99776500638569621</v>
      </c>
      <c r="L38" s="257">
        <f>('[4]EC - Travel Time - Roadway'!$D$74/60)</f>
        <v>0.99776500638569621</v>
      </c>
      <c r="M38" s="256">
        <f t="shared" si="2"/>
        <v>663.97061546838324</v>
      </c>
      <c r="N38" s="256">
        <f t="shared" si="2"/>
        <v>135.99398148147606</v>
      </c>
      <c r="O38" s="257">
        <f t="shared" si="3"/>
        <v>4.5936143157123714</v>
      </c>
      <c r="P38" s="257">
        <f t="shared" si="3"/>
        <v>0.50611565674908487</v>
      </c>
      <c r="Q38" s="258">
        <f t="shared" si="4"/>
        <v>1856.2557849053226</v>
      </c>
      <c r="R38" s="259">
        <f t="shared" si="4"/>
        <v>102.25935952635066</v>
      </c>
      <c r="S38" s="255">
        <f t="shared" si="5"/>
        <v>677533.36149044277</v>
      </c>
      <c r="T38" s="255">
        <f t="shared" si="5"/>
        <v>37324.666227117996</v>
      </c>
      <c r="U38" s="255"/>
      <c r="V38" s="573">
        <v>2050</v>
      </c>
      <c r="W38" s="176">
        <f t="shared" si="22"/>
        <v>14532.460587471725</v>
      </c>
      <c r="X38" s="176">
        <f t="shared" si="7"/>
        <v>12061.942287601531</v>
      </c>
      <c r="Y38" s="176">
        <f t="shared" si="23"/>
        <v>2470.5182998701953</v>
      </c>
      <c r="Z38" s="255">
        <f t="shared" si="18"/>
        <v>502.58092865006375</v>
      </c>
      <c r="AA38" s="255">
        <f t="shared" si="18"/>
        <v>102.93826249459147</v>
      </c>
      <c r="AB38" s="256">
        <f t="shared" si="8"/>
        <v>810</v>
      </c>
      <c r="AC38" s="256">
        <f t="shared" si="9"/>
        <v>405</v>
      </c>
      <c r="AD38" s="257">
        <f>('[4]EC - Travel Time - Roadway'!$D$74/60)</f>
        <v>0.99776500638569621</v>
      </c>
      <c r="AE38" s="257">
        <f>('[4]EC - Travel Time - Roadway'!$D$74/60)</f>
        <v>0.99776500638569621</v>
      </c>
      <c r="AF38" s="256">
        <f t="shared" si="10"/>
        <v>501.45766348386002</v>
      </c>
      <c r="AG38" s="256">
        <f t="shared" si="10"/>
        <v>102.70819613524853</v>
      </c>
      <c r="AH38" s="257">
        <f t="shared" si="11"/>
        <v>1.631185928972666</v>
      </c>
      <c r="AI38" s="257">
        <f t="shared" si="11"/>
        <v>0.3400238540090153</v>
      </c>
      <c r="AJ38" s="256">
        <f t="shared" si="12"/>
        <v>659.15379672925621</v>
      </c>
      <c r="AK38" s="262">
        <f t="shared" si="12"/>
        <v>68.700940330485324</v>
      </c>
      <c r="AL38" s="255">
        <f t="shared" si="13"/>
        <v>240591.13580617853</v>
      </c>
      <c r="AM38" s="255">
        <f t="shared" si="13"/>
        <v>25075.843220627143</v>
      </c>
    </row>
    <row r="39" spans="3:39">
      <c r="C39" s="573">
        <v>2051</v>
      </c>
      <c r="D39" s="176">
        <f t="shared" si="20"/>
        <v>19415.335831340402</v>
      </c>
      <c r="E39" s="176">
        <f t="shared" si="15"/>
        <v>16114.728740012535</v>
      </c>
      <c r="F39" s="176">
        <f t="shared" si="21"/>
        <v>3300.6070913278677</v>
      </c>
      <c r="G39" s="255">
        <f t="shared" si="16"/>
        <v>671.44703083385559</v>
      </c>
      <c r="H39" s="255">
        <f t="shared" si="16"/>
        <v>137.5252954719945</v>
      </c>
      <c r="I39" s="256">
        <f t="shared" si="0"/>
        <v>810</v>
      </c>
      <c r="J39" s="256">
        <f t="shared" si="1"/>
        <v>405</v>
      </c>
      <c r="K39" s="257">
        <f>('[4]EC - Travel Time - Roadway'!$D$74/60)</f>
        <v>0.99776500638569621</v>
      </c>
      <c r="L39" s="257">
        <f>('[4]EC - Travel Time - Roadway'!$D$74/60)</f>
        <v>0.99776500638569621</v>
      </c>
      <c r="M39" s="256">
        <f t="shared" si="2"/>
        <v>669.94635100759865</v>
      </c>
      <c r="N39" s="256">
        <f t="shared" si="2"/>
        <v>137.21792731480934</v>
      </c>
      <c r="O39" s="257">
        <f t="shared" si="3"/>
        <v>4.8353085108139338</v>
      </c>
      <c r="P39" s="257">
        <f t="shared" si="3"/>
        <v>0.51301272603309722</v>
      </c>
      <c r="Q39" s="258">
        <f t="shared" si="4"/>
        <v>1953.9231590034756</v>
      </c>
      <c r="R39" s="259">
        <f t="shared" si="4"/>
        <v>103.65289453793724</v>
      </c>
      <c r="S39" s="255">
        <f t="shared" si="5"/>
        <v>713181.95303626859</v>
      </c>
      <c r="T39" s="255">
        <f t="shared" si="5"/>
        <v>37833.306506347093</v>
      </c>
      <c r="U39" s="255"/>
      <c r="V39" s="573">
        <v>2051</v>
      </c>
      <c r="W39" s="176">
        <f t="shared" si="22"/>
        <v>14663.252732758969</v>
      </c>
      <c r="X39" s="176">
        <f t="shared" si="7"/>
        <v>12170.499768189942</v>
      </c>
      <c r="Y39" s="176">
        <f t="shared" si="23"/>
        <v>2492.752964569027</v>
      </c>
      <c r="Z39" s="255">
        <f t="shared" si="18"/>
        <v>507.10415700791424</v>
      </c>
      <c r="AA39" s="255">
        <f t="shared" si="18"/>
        <v>103.86470685704279</v>
      </c>
      <c r="AB39" s="256">
        <f t="shared" si="8"/>
        <v>810</v>
      </c>
      <c r="AC39" s="256">
        <f t="shared" si="9"/>
        <v>405</v>
      </c>
      <c r="AD39" s="257">
        <f>('[4]EC - Travel Time - Roadway'!$D$74/60)</f>
        <v>0.99776500638569621</v>
      </c>
      <c r="AE39" s="257">
        <f>('[4]EC - Travel Time - Roadway'!$D$74/60)</f>
        <v>0.99776500638569621</v>
      </c>
      <c r="AF39" s="256">
        <f t="shared" si="10"/>
        <v>505.97078245521465</v>
      </c>
      <c r="AG39" s="256">
        <f t="shared" si="10"/>
        <v>103.63256990046577</v>
      </c>
      <c r="AH39" s="257">
        <f t="shared" si="11"/>
        <v>1.6704447887336471</v>
      </c>
      <c r="AI39" s="257">
        <f t="shared" si="11"/>
        <v>0.34413956869302775</v>
      </c>
      <c r="AJ39" s="256">
        <f t="shared" si="12"/>
        <v>675.01809889560104</v>
      </c>
      <c r="AK39" s="262">
        <f t="shared" si="12"/>
        <v>69.532509838300342</v>
      </c>
      <c r="AL39" s="255">
        <f t="shared" si="13"/>
        <v>246381.60609689439</v>
      </c>
      <c r="AM39" s="255">
        <f t="shared" si="13"/>
        <v>25379.366090979624</v>
      </c>
    </row>
    <row r="40" spans="3:39">
      <c r="C40" s="573">
        <v>2052</v>
      </c>
      <c r="D40" s="176">
        <f t="shared" si="20"/>
        <v>19590.073853822465</v>
      </c>
      <c r="E40" s="176">
        <f t="shared" si="15"/>
        <v>16259.761298672647</v>
      </c>
      <c r="F40" s="176">
        <f t="shared" si="21"/>
        <v>3330.3125551498183</v>
      </c>
      <c r="G40" s="255">
        <f t="shared" si="16"/>
        <v>677.49005411136034</v>
      </c>
      <c r="H40" s="255">
        <f t="shared" si="16"/>
        <v>138.76302313124242</v>
      </c>
      <c r="I40" s="256">
        <f t="shared" si="0"/>
        <v>810</v>
      </c>
      <c r="J40" s="256">
        <f t="shared" si="1"/>
        <v>405</v>
      </c>
      <c r="K40" s="257">
        <f>('[4]EC - Travel Time - Roadway'!$D$74/60)</f>
        <v>0.99776500638569621</v>
      </c>
      <c r="L40" s="257">
        <f>('[4]EC - Travel Time - Roadway'!$D$74/60)</f>
        <v>0.99776500638569621</v>
      </c>
      <c r="M40" s="256">
        <f t="shared" si="2"/>
        <v>675.97586816666717</v>
      </c>
      <c r="N40" s="256">
        <f t="shared" si="2"/>
        <v>138.4528886606426</v>
      </c>
      <c r="O40" s="257">
        <f t="shared" si="3"/>
        <v>5.1013217433108915</v>
      </c>
      <c r="P40" s="257">
        <f t="shared" si="3"/>
        <v>0.52003628605238195</v>
      </c>
      <c r="Q40" s="258">
        <f t="shared" si="4"/>
        <v>2061.4177303249835</v>
      </c>
      <c r="R40" s="259">
        <f t="shared" si="4"/>
        <v>105.07198667545434</v>
      </c>
      <c r="S40" s="255">
        <f t="shared" si="5"/>
        <v>752417.47156861902</v>
      </c>
      <c r="T40" s="255">
        <f t="shared" si="5"/>
        <v>38351.275136540833</v>
      </c>
      <c r="U40" s="255"/>
      <c r="V40" s="573">
        <v>2052</v>
      </c>
      <c r="W40" s="176">
        <f t="shared" si="22"/>
        <v>14795.222007353797</v>
      </c>
      <c r="X40" s="176">
        <f t="shared" si="7"/>
        <v>12280.034266103648</v>
      </c>
      <c r="Y40" s="176">
        <f t="shared" si="23"/>
        <v>2515.1877412501481</v>
      </c>
      <c r="Z40" s="255">
        <f t="shared" si="18"/>
        <v>511.66809442098537</v>
      </c>
      <c r="AA40" s="255">
        <f t="shared" si="18"/>
        <v>104.79948921875616</v>
      </c>
      <c r="AB40" s="256">
        <f t="shared" si="8"/>
        <v>810</v>
      </c>
      <c r="AC40" s="256">
        <f t="shared" si="9"/>
        <v>405</v>
      </c>
      <c r="AD40" s="257">
        <f>('[4]EC - Travel Time - Roadway'!$D$74/60)</f>
        <v>0.99776500638569621</v>
      </c>
      <c r="AE40" s="257">
        <f>('[4]EC - Travel Time - Roadway'!$D$74/60)</f>
        <v>0.99776500638569621</v>
      </c>
      <c r="AF40" s="256">
        <f t="shared" si="10"/>
        <v>510.52451949731147</v>
      </c>
      <c r="AG40" s="256">
        <f t="shared" si="10"/>
        <v>104.56526302956995</v>
      </c>
      <c r="AH40" s="257">
        <f t="shared" si="11"/>
        <v>1.7112635623282224</v>
      </c>
      <c r="AI40" s="257">
        <f t="shared" si="11"/>
        <v>0.34831807166966039</v>
      </c>
      <c r="AJ40" s="256">
        <f t="shared" si="12"/>
        <v>691.51275417358136</v>
      </c>
      <c r="AK40" s="262">
        <f t="shared" si="12"/>
        <v>70.376765558255741</v>
      </c>
      <c r="AL40" s="255">
        <f t="shared" si="13"/>
        <v>252402.1552733572</v>
      </c>
      <c r="AM40" s="255">
        <f t="shared" si="13"/>
        <v>25687.519428763346</v>
      </c>
    </row>
    <row r="41" spans="3:39">
      <c r="C41" s="573">
        <v>2053</v>
      </c>
      <c r="D41" s="176">
        <f t="shared" si="20"/>
        <v>19766.384518506864</v>
      </c>
      <c r="E41" s="176">
        <f t="shared" si="15"/>
        <v>16406.099150360697</v>
      </c>
      <c r="F41" s="176">
        <f t="shared" si="21"/>
        <v>3360.2853681461665</v>
      </c>
      <c r="G41" s="255">
        <f t="shared" si="16"/>
        <v>683.58746459836232</v>
      </c>
      <c r="H41" s="255">
        <f t="shared" si="16"/>
        <v>140.01189033942362</v>
      </c>
      <c r="I41" s="256">
        <f t="shared" si="0"/>
        <v>810</v>
      </c>
      <c r="J41" s="256">
        <f t="shared" si="1"/>
        <v>405</v>
      </c>
      <c r="K41" s="257">
        <f>('[4]EC - Travel Time - Roadway'!$D$74/60)</f>
        <v>0.99776500638569621</v>
      </c>
      <c r="L41" s="257">
        <f>('[4]EC - Travel Time - Roadway'!$D$74/60)</f>
        <v>0.99776500638569621</v>
      </c>
      <c r="M41" s="256">
        <f t="shared" si="2"/>
        <v>682.05965098016691</v>
      </c>
      <c r="N41" s="256">
        <f t="shared" si="2"/>
        <v>139.69896465858841</v>
      </c>
      <c r="O41" s="257">
        <f t="shared" si="3"/>
        <v>5.3955064568013622</v>
      </c>
      <c r="P41" s="257">
        <f t="shared" si="3"/>
        <v>0.52718955894862229</v>
      </c>
      <c r="Q41" s="258">
        <f t="shared" si="4"/>
        <v>2180.296251401413</v>
      </c>
      <c r="R41" s="259">
        <f t="shared" si="4"/>
        <v>106.51728696429601</v>
      </c>
      <c r="S41" s="255">
        <f t="shared" si="5"/>
        <v>795808.13176151575</v>
      </c>
      <c r="T41" s="255">
        <f t="shared" si="5"/>
        <v>38878.809741968042</v>
      </c>
      <c r="U41" s="255"/>
      <c r="V41" s="573">
        <v>2053</v>
      </c>
      <c r="W41" s="176">
        <f t="shared" si="22"/>
        <v>14928.37900541998</v>
      </c>
      <c r="X41" s="176">
        <f t="shared" si="7"/>
        <v>12390.554574498581</v>
      </c>
      <c r="Y41" s="176">
        <f t="shared" si="23"/>
        <v>2537.8244309213992</v>
      </c>
      <c r="Z41" s="255">
        <f t="shared" si="18"/>
        <v>516.27310727077418</v>
      </c>
      <c r="AA41" s="255">
        <f t="shared" si="18"/>
        <v>105.74268462172496</v>
      </c>
      <c r="AB41" s="256">
        <f t="shared" si="8"/>
        <v>810</v>
      </c>
      <c r="AC41" s="256">
        <f t="shared" si="9"/>
        <v>405</v>
      </c>
      <c r="AD41" s="257">
        <f>('[4]EC - Travel Time - Roadway'!$D$74/60)</f>
        <v>0.99776500638569621</v>
      </c>
      <c r="AE41" s="257">
        <f>('[4]EC - Travel Time - Roadway'!$D$74/60)</f>
        <v>0.99776500638569621</v>
      </c>
      <c r="AF41" s="256">
        <f t="shared" si="10"/>
        <v>515.11924017278727</v>
      </c>
      <c r="AG41" s="256">
        <f t="shared" si="10"/>
        <v>105.50635039683607</v>
      </c>
      <c r="AH41" s="257">
        <f t="shared" si="11"/>
        <v>1.7537353675260969</v>
      </c>
      <c r="AI41" s="257">
        <f t="shared" si="11"/>
        <v>0.35256063920599962</v>
      </c>
      <c r="AJ41" s="256">
        <f t="shared" si="12"/>
        <v>708.67539097229144</v>
      </c>
      <c r="AK41" s="262">
        <f t="shared" si="12"/>
        <v>71.233965356815673</v>
      </c>
      <c r="AL41" s="255">
        <f t="shared" si="13"/>
        <v>258666.51770488638</v>
      </c>
      <c r="AM41" s="255">
        <f t="shared" si="13"/>
        <v>26000.397355237721</v>
      </c>
    </row>
    <row r="42" spans="3:39">
      <c r="C42" s="573">
        <v>2054</v>
      </c>
      <c r="D42" s="176">
        <f t="shared" si="20"/>
        <v>19944.281979173425</v>
      </c>
      <c r="E42" s="176">
        <f t="shared" si="15"/>
        <v>16553.754042713943</v>
      </c>
      <c r="F42" s="176">
        <f t="shared" si="21"/>
        <v>3390.5279364594817</v>
      </c>
      <c r="G42" s="255">
        <f t="shared" si="16"/>
        <v>689.73975177974762</v>
      </c>
      <c r="H42" s="255">
        <f t="shared" si="16"/>
        <v>141.27199735247839</v>
      </c>
      <c r="I42" s="256">
        <f t="shared" si="0"/>
        <v>810</v>
      </c>
      <c r="J42" s="256">
        <f t="shared" si="1"/>
        <v>405</v>
      </c>
      <c r="K42" s="257">
        <f>('[4]EC - Travel Time - Roadway'!$D$74/60)</f>
        <v>0.99776500638569621</v>
      </c>
      <c r="L42" s="257">
        <f>('[4]EC - Travel Time - Roadway'!$D$74/60)</f>
        <v>0.99776500638569621</v>
      </c>
      <c r="M42" s="256">
        <f t="shared" si="2"/>
        <v>688.19818783898836</v>
      </c>
      <c r="N42" s="256">
        <f t="shared" si="2"/>
        <v>140.95625534051567</v>
      </c>
      <c r="O42" s="257">
        <f t="shared" si="3"/>
        <v>5.7225741508414139</v>
      </c>
      <c r="P42" s="257">
        <f t="shared" si="3"/>
        <v>0.53447587637823524</v>
      </c>
      <c r="Q42" s="258">
        <f t="shared" si="4"/>
        <v>2312.462614833546</v>
      </c>
      <c r="R42" s="259">
        <f t="shared" si="4"/>
        <v>107.98946855702494</v>
      </c>
      <c r="S42" s="255">
        <f t="shared" si="5"/>
        <v>844048.8544142443</v>
      </c>
      <c r="T42" s="255">
        <f t="shared" si="5"/>
        <v>39416.156023314099</v>
      </c>
      <c r="U42" s="255"/>
      <c r="V42" s="573">
        <v>2054</v>
      </c>
      <c r="W42" s="176">
        <f t="shared" si="22"/>
        <v>15062.734416468758</v>
      </c>
      <c r="X42" s="176">
        <f t="shared" si="7"/>
        <v>12502.069565669066</v>
      </c>
      <c r="Y42" s="176">
        <f t="shared" si="23"/>
        <v>2560.6648507996915</v>
      </c>
      <c r="Z42" s="255">
        <f t="shared" si="18"/>
        <v>520.91956523621104</v>
      </c>
      <c r="AA42" s="255">
        <f t="shared" si="18"/>
        <v>106.69436878332048</v>
      </c>
      <c r="AB42" s="256">
        <f t="shared" si="8"/>
        <v>810</v>
      </c>
      <c r="AC42" s="256">
        <f t="shared" si="9"/>
        <v>405</v>
      </c>
      <c r="AD42" s="257">
        <f>('[4]EC - Travel Time - Roadway'!$D$74/60)</f>
        <v>0.99776500638569621</v>
      </c>
      <c r="AE42" s="257">
        <f>('[4]EC - Travel Time - Roadway'!$D$74/60)</f>
        <v>0.99776500638569621</v>
      </c>
      <c r="AF42" s="256">
        <f t="shared" si="10"/>
        <v>519.75531333434219</v>
      </c>
      <c r="AG42" s="256">
        <f t="shared" si="10"/>
        <v>106.45590755040759</v>
      </c>
      <c r="AH42" s="257">
        <f t="shared" si="11"/>
        <v>1.7979608815762311</v>
      </c>
      <c r="AI42" s="257">
        <f t="shared" si="11"/>
        <v>0.35686858178376618</v>
      </c>
      <c r="AJ42" s="256">
        <f t="shared" si="12"/>
        <v>726.54669244729178</v>
      </c>
      <c r="AK42" s="262">
        <f t="shared" si="12"/>
        <v>72.1043740134226</v>
      </c>
      <c r="AL42" s="255">
        <f t="shared" si="13"/>
        <v>265189.5427432615</v>
      </c>
      <c r="AM42" s="255">
        <f t="shared" si="13"/>
        <v>26318.096514899247</v>
      </c>
    </row>
    <row r="43" spans="3:39" ht="13.5" thickBot="1">
      <c r="C43" s="282">
        <v>2055</v>
      </c>
      <c r="D43" s="245">
        <f t="shared" si="20"/>
        <v>20123.780516985986</v>
      </c>
      <c r="E43" s="245">
        <f t="shared" si="15"/>
        <v>16702.737829098369</v>
      </c>
      <c r="F43" s="245">
        <f t="shared" si="21"/>
        <v>3421.0426878876165</v>
      </c>
      <c r="G43" s="270">
        <f t="shared" si="16"/>
        <v>695.94740954576537</v>
      </c>
      <c r="H43" s="270">
        <f t="shared" si="16"/>
        <v>142.54344532865068</v>
      </c>
      <c r="I43" s="271">
        <f t="shared" si="0"/>
        <v>810</v>
      </c>
      <c r="J43" s="271">
        <f t="shared" si="1"/>
        <v>405</v>
      </c>
      <c r="K43" s="272">
        <f>('[4]EC - Travel Time - Roadway'!$D$74/60)</f>
        <v>0.99776500638569621</v>
      </c>
      <c r="L43" s="272">
        <f>('[4]EC - Travel Time - Roadway'!$D$74/60)</f>
        <v>0.99776500638569621</v>
      </c>
      <c r="M43" s="271">
        <f t="shared" si="2"/>
        <v>694.39197152953932</v>
      </c>
      <c r="N43" s="271">
        <f t="shared" si="2"/>
        <v>142.22486163858028</v>
      </c>
      <c r="O43" s="272">
        <f t="shared" si="3"/>
        <v>6.0883489692255157</v>
      </c>
      <c r="P43" s="272">
        <f t="shared" si="3"/>
        <v>0.54189868420956633</v>
      </c>
      <c r="Q43" s="283">
        <f t="shared" si="4"/>
        <v>2460.270327003846</v>
      </c>
      <c r="R43" s="284">
        <f t="shared" si="4"/>
        <v>109.48922768242855</v>
      </c>
      <c r="S43" s="285">
        <f t="shared" si="5"/>
        <v>897998.66935640376</v>
      </c>
      <c r="T43" s="266">
        <f t="shared" si="5"/>
        <v>39963.568104086422</v>
      </c>
      <c r="U43" s="286"/>
      <c r="V43" s="282">
        <v>2055</v>
      </c>
      <c r="W43" s="245">
        <f t="shared" si="22"/>
        <v>15198.299026216975</v>
      </c>
      <c r="X43" s="245">
        <f t="shared" si="7"/>
        <v>12614.588191760087</v>
      </c>
      <c r="Y43" s="245">
        <f t="shared" si="23"/>
        <v>2583.7108344568883</v>
      </c>
      <c r="Z43" s="270">
        <f t="shared" si="18"/>
        <v>525.60784132333697</v>
      </c>
      <c r="AA43" s="270">
        <f t="shared" si="18"/>
        <v>107.65461810237035</v>
      </c>
      <c r="AB43" s="271">
        <f t="shared" si="8"/>
        <v>810</v>
      </c>
      <c r="AC43" s="271">
        <f t="shared" si="9"/>
        <v>405</v>
      </c>
      <c r="AD43" s="272">
        <f>('[4]EC - Travel Time - Roadway'!$D$74/60)</f>
        <v>0.99776500638569621</v>
      </c>
      <c r="AE43" s="272">
        <f>('[4]EC - Travel Time - Roadway'!$D$74/60)</f>
        <v>0.99776500638569621</v>
      </c>
      <c r="AF43" s="271">
        <f t="shared" si="10"/>
        <v>524.43311115435131</v>
      </c>
      <c r="AG43" s="271">
        <f t="shared" si="10"/>
        <v>107.41401071836124</v>
      </c>
      <c r="AH43" s="272">
        <f t="shared" si="11"/>
        <v>1.8440491242608434</v>
      </c>
      <c r="AI43" s="272">
        <f t="shared" si="11"/>
        <v>0.36124324525524948</v>
      </c>
      <c r="AJ43" s="287">
        <f t="shared" si="12"/>
        <v>745.1707129286815</v>
      </c>
      <c r="AK43" s="288">
        <f t="shared" si="12"/>
        <v>72.988263454050951</v>
      </c>
      <c r="AL43" s="285">
        <f t="shared" si="13"/>
        <v>271987.31021896872</v>
      </c>
      <c r="AM43" s="266">
        <f t="shared" si="13"/>
        <v>26640.716160728596</v>
      </c>
    </row>
    <row r="44" spans="3:39">
      <c r="H44" t="s">
        <v>251</v>
      </c>
    </row>
    <row r="45" spans="3:39">
      <c r="H45" s="1" t="s">
        <v>252</v>
      </c>
    </row>
    <row r="46" spans="3:39">
      <c r="H46" s="1" t="s">
        <v>253</v>
      </c>
    </row>
    <row r="47" spans="3:39">
      <c r="H47" s="3" t="s">
        <v>254</v>
      </c>
    </row>
    <row r="49" spans="3:32" ht="13.5" thickBot="1"/>
    <row r="50" spans="3:32" ht="13.5" thickBot="1">
      <c r="C50" s="247" t="s">
        <v>255</v>
      </c>
      <c r="D50" s="248"/>
      <c r="E50" s="248"/>
      <c r="F50" s="248"/>
      <c r="G50" s="248"/>
      <c r="H50" s="248"/>
      <c r="I50" s="248"/>
      <c r="J50" s="248"/>
      <c r="K50" s="248"/>
      <c r="L50" s="248"/>
      <c r="M50" s="248"/>
      <c r="N50" s="248"/>
      <c r="O50" s="248"/>
      <c r="P50" s="248"/>
      <c r="Q50" s="248"/>
      <c r="R50" s="248"/>
      <c r="S50" s="248"/>
      <c r="T50" s="248"/>
      <c r="U50" s="248"/>
      <c r="V50" s="248"/>
    </row>
    <row r="51" spans="3:32">
      <c r="C51" s="710" t="s">
        <v>256</v>
      </c>
      <c r="D51" s="696"/>
      <c r="E51" s="696"/>
      <c r="F51" s="696"/>
      <c r="G51" s="713" t="s">
        <v>230</v>
      </c>
      <c r="H51" s="713"/>
      <c r="I51" s="713"/>
      <c r="J51" s="713"/>
      <c r="K51" s="713"/>
      <c r="L51" s="713"/>
      <c r="M51" s="713"/>
      <c r="N51" s="713"/>
      <c r="O51" s="713"/>
      <c r="P51" s="713"/>
      <c r="Q51" s="713"/>
      <c r="R51" s="713"/>
      <c r="S51" s="713"/>
      <c r="T51" s="713"/>
      <c r="U51" s="714" t="s">
        <v>231</v>
      </c>
      <c r="V51" s="714"/>
    </row>
    <row r="52" spans="3:32">
      <c r="D52" s="715" t="s">
        <v>233</v>
      </c>
      <c r="E52" s="716"/>
      <c r="F52" s="720"/>
      <c r="G52" s="717" t="s">
        <v>234</v>
      </c>
      <c r="H52" s="718"/>
      <c r="I52" s="717" t="s">
        <v>235</v>
      </c>
      <c r="J52" s="718"/>
      <c r="K52" s="721" t="s">
        <v>257</v>
      </c>
      <c r="L52" s="718"/>
      <c r="M52" s="717" t="s">
        <v>236</v>
      </c>
      <c r="N52" s="718"/>
      <c r="O52" s="717" t="s">
        <v>237</v>
      </c>
      <c r="P52" s="718"/>
      <c r="Q52" s="717" t="s">
        <v>238</v>
      </c>
      <c r="R52" s="718"/>
      <c r="S52" s="717" t="s">
        <v>239</v>
      </c>
      <c r="T52" s="719"/>
      <c r="U52" s="708" t="s">
        <v>239</v>
      </c>
      <c r="V52" s="708"/>
      <c r="Z52" s="6"/>
      <c r="AA52" s="289"/>
      <c r="AB52" s="289"/>
      <c r="AC52" s="289"/>
      <c r="AD52" s="289"/>
      <c r="AE52" s="289"/>
      <c r="AF52" s="289"/>
    </row>
    <row r="53" spans="3:32" ht="25.5">
      <c r="C53" s="575" t="s">
        <v>76</v>
      </c>
      <c r="D53" s="574" t="s">
        <v>51</v>
      </c>
      <c r="E53" s="573" t="s">
        <v>240</v>
      </c>
      <c r="F53" s="573" t="s">
        <v>171</v>
      </c>
      <c r="G53" s="252" t="s">
        <v>241</v>
      </c>
      <c r="H53" s="252" t="s">
        <v>242</v>
      </c>
      <c r="I53" s="252" t="s">
        <v>243</v>
      </c>
      <c r="J53" s="252" t="s">
        <v>244</v>
      </c>
      <c r="K53" s="252" t="s">
        <v>258</v>
      </c>
      <c r="L53" s="252" t="s">
        <v>259</v>
      </c>
      <c r="M53" s="252" t="s">
        <v>245</v>
      </c>
      <c r="N53" s="252" t="s">
        <v>246</v>
      </c>
      <c r="O53" s="252" t="s">
        <v>247</v>
      </c>
      <c r="P53" s="252" t="s">
        <v>248</v>
      </c>
      <c r="Q53" s="252" t="s">
        <v>249</v>
      </c>
      <c r="R53" s="252" t="s">
        <v>250</v>
      </c>
      <c r="S53" s="252" t="s">
        <v>240</v>
      </c>
      <c r="T53" s="253" t="s">
        <v>171</v>
      </c>
      <c r="U53" s="252" t="s">
        <v>240</v>
      </c>
      <c r="V53" s="252" t="s">
        <v>171</v>
      </c>
      <c r="Z53" s="6"/>
      <c r="AA53" s="6"/>
      <c r="AB53" s="6"/>
      <c r="AC53" s="6"/>
      <c r="AD53" s="6"/>
      <c r="AE53" s="6"/>
      <c r="AF53" s="6"/>
    </row>
    <row r="54" spans="3:32">
      <c r="C54" s="575">
        <v>2017</v>
      </c>
      <c r="D54" s="171">
        <f>'[4]Segment AADTs'!Q5</f>
        <v>4482</v>
      </c>
      <c r="E54" s="171">
        <f>D54-F54</f>
        <v>3720.06</v>
      </c>
      <c r="F54" s="171">
        <f>'[4]Segment AADTs'!Q4</f>
        <v>761.94</v>
      </c>
      <c r="G54" s="255">
        <f>E54/(24)</f>
        <v>155.0025</v>
      </c>
      <c r="H54" s="255">
        <f>F54/(24)</f>
        <v>31.747500000000002</v>
      </c>
      <c r="I54" s="256">
        <f>1800</f>
        <v>1800</v>
      </c>
      <c r="J54" s="256">
        <f>900</f>
        <v>900</v>
      </c>
      <c r="K54" s="290">
        <v>2</v>
      </c>
      <c r="L54" s="290">
        <v>2</v>
      </c>
      <c r="M54" s="257">
        <f>(K54*'[4]EC - Travel Time - Roadway'!$D$49/60)+(L54*'[4]EC - Travel Time - Roadway'!$D$63/60)</f>
        <v>0.14791666666666664</v>
      </c>
      <c r="N54" s="257">
        <f>(K54*'[4]EC - Travel Time - Roadway'!$D$49/60)+(L54*'[4]EC - Travel Time - Roadway'!$D$63/60)</f>
        <v>0.14791666666666664</v>
      </c>
      <c r="O54" s="256">
        <f t="shared" ref="O54:P92" si="24">G54*(M54)</f>
        <v>22.927453124999996</v>
      </c>
      <c r="P54" s="256">
        <f t="shared" si="24"/>
        <v>4.6959843749999992</v>
      </c>
      <c r="Q54" s="257">
        <f>O54/(I54-G54)</f>
        <v>1.3937682656052667E-2</v>
      </c>
      <c r="R54" s="257">
        <f>P54/(J54-H54)</f>
        <v>5.408546908877313E-3</v>
      </c>
      <c r="S54" s="258">
        <f>0.5*M54*G54*(M54+Q54)</f>
        <v>1.8554540035870108</v>
      </c>
      <c r="T54" s="259">
        <f>0.5*N54*H54*(N54+R54)</f>
        <v>0.36000640362214609</v>
      </c>
      <c r="U54" s="291">
        <f>S54*365</f>
        <v>677.24071130925893</v>
      </c>
      <c r="V54" s="291">
        <f>T54*365</f>
        <v>131.40233732208333</v>
      </c>
      <c r="Z54" s="6"/>
      <c r="AA54" s="6"/>
      <c r="AB54" s="6"/>
      <c r="AC54" s="6"/>
      <c r="AD54" s="6"/>
      <c r="AE54" s="6"/>
      <c r="AF54" s="6"/>
    </row>
    <row r="55" spans="3:32">
      <c r="C55" s="573">
        <v>2018</v>
      </c>
      <c r="D55" s="176">
        <f>D54*(1+$B$4)</f>
        <v>4553.7120000000004</v>
      </c>
      <c r="E55" s="176">
        <f t="shared" ref="E55:E92" si="25">D55-F55</f>
        <v>3779.5809600000002</v>
      </c>
      <c r="F55" s="176">
        <f>F54*(1+$B$4)</f>
        <v>774.1310400000001</v>
      </c>
      <c r="G55" s="255">
        <f>E55/(24)</f>
        <v>157.48254</v>
      </c>
      <c r="H55" s="255">
        <f>F55/(24)</f>
        <v>32.255460000000006</v>
      </c>
      <c r="I55" s="256">
        <f>1800</f>
        <v>1800</v>
      </c>
      <c r="J55" s="256">
        <f>900</f>
        <v>900</v>
      </c>
      <c r="K55" s="256">
        <v>2</v>
      </c>
      <c r="L55" s="256">
        <v>2</v>
      </c>
      <c r="M55" s="257">
        <v>0.14791666666666664</v>
      </c>
      <c r="N55" s="257">
        <v>0.14791666666666664</v>
      </c>
      <c r="O55" s="256">
        <f t="shared" si="24"/>
        <v>23.294292374999998</v>
      </c>
      <c r="P55" s="256">
        <f t="shared" si="24"/>
        <v>4.7711201250000004</v>
      </c>
      <c r="Q55" s="257">
        <f t="shared" ref="Q55:R92" si="26">O55/(I55-G55)</f>
        <v>1.4182066822595601E-2</v>
      </c>
      <c r="R55" s="257">
        <f t="shared" si="26"/>
        <v>5.4983003695995604E-3</v>
      </c>
      <c r="S55" s="258">
        <f t="shared" ref="S55:T92" si="27">0.5*M55*G55*(M55+Q55)</f>
        <v>1.8879876457580391</v>
      </c>
      <c r="T55" s="259">
        <f t="shared" si="27"/>
        <v>0.36598061835147067</v>
      </c>
      <c r="U55" s="291">
        <f t="shared" ref="U55:V92" si="28">S55*365</f>
        <v>689.11549070168428</v>
      </c>
      <c r="V55" s="291">
        <f t="shared" si="28"/>
        <v>133.5829256982868</v>
      </c>
      <c r="Z55" s="6"/>
      <c r="AA55" s="6"/>
      <c r="AB55" s="6"/>
      <c r="AC55" s="6"/>
      <c r="AD55" s="6"/>
      <c r="AE55" s="6"/>
      <c r="AF55" s="6"/>
    </row>
    <row r="56" spans="3:32">
      <c r="C56" s="573">
        <v>2019</v>
      </c>
      <c r="D56" s="176">
        <f t="shared" ref="D56:D77" si="29">D55*(1+$B$4)</f>
        <v>4626.5713920000007</v>
      </c>
      <c r="E56" s="176">
        <f t="shared" si="25"/>
        <v>3840.0542553600008</v>
      </c>
      <c r="F56" s="176">
        <f t="shared" ref="F56:F77" si="30">F55*(1+$B$4)</f>
        <v>786.5171366400001</v>
      </c>
      <c r="G56" s="255">
        <f t="shared" ref="G56:H92" si="31">E56/(24)</f>
        <v>160.00226064000003</v>
      </c>
      <c r="H56" s="255">
        <f t="shared" si="31"/>
        <v>32.771547360000007</v>
      </c>
      <c r="I56" s="256">
        <f>1800</f>
        <v>1800</v>
      </c>
      <c r="J56" s="256">
        <f>900</f>
        <v>900</v>
      </c>
      <c r="K56" s="256">
        <v>2</v>
      </c>
      <c r="L56" s="256">
        <v>2</v>
      </c>
      <c r="M56" s="257">
        <v>0.14791666666666664</v>
      </c>
      <c r="N56" s="257">
        <v>0.14791666666666664</v>
      </c>
      <c r="O56" s="256">
        <f t="shared" si="24"/>
        <v>23.667001053</v>
      </c>
      <c r="P56" s="256">
        <f t="shared" si="24"/>
        <v>4.8474580469999999</v>
      </c>
      <c r="Q56" s="257">
        <f t="shared" si="26"/>
        <v>1.4431118095465129E-2</v>
      </c>
      <c r="R56" s="257">
        <f t="shared" si="26"/>
        <v>5.5895975647979055E-3</v>
      </c>
      <c r="S56" s="258">
        <f t="shared" si="27"/>
        <v>1.9211425964587949</v>
      </c>
      <c r="T56" s="259">
        <f t="shared" si="27"/>
        <v>0.37205758790686055</v>
      </c>
      <c r="U56" s="291">
        <f t="shared" si="28"/>
        <v>701.2170477074601</v>
      </c>
      <c r="V56" s="291">
        <f t="shared" si="28"/>
        <v>135.80101958600409</v>
      </c>
      <c r="Z56" s="6"/>
      <c r="AA56" s="6"/>
      <c r="AB56" s="6"/>
      <c r="AC56" s="6"/>
      <c r="AD56" s="6"/>
      <c r="AE56" s="6"/>
      <c r="AF56" s="6"/>
    </row>
    <row r="57" spans="3:32">
      <c r="C57" s="573">
        <v>2020</v>
      </c>
      <c r="D57" s="176">
        <f t="shared" si="29"/>
        <v>4700.596534272001</v>
      </c>
      <c r="E57" s="176">
        <f t="shared" si="25"/>
        <v>3901.4951234457608</v>
      </c>
      <c r="F57" s="176">
        <f t="shared" si="30"/>
        <v>799.10141082624011</v>
      </c>
      <c r="G57" s="255">
        <f t="shared" si="31"/>
        <v>162.56229681024004</v>
      </c>
      <c r="H57" s="255">
        <f t="shared" si="31"/>
        <v>33.295892117760005</v>
      </c>
      <c r="I57" s="256">
        <f>1800</f>
        <v>1800</v>
      </c>
      <c r="J57" s="256">
        <f>900</f>
        <v>900</v>
      </c>
      <c r="K57" s="256">
        <v>2</v>
      </c>
      <c r="L57" s="256">
        <v>2</v>
      </c>
      <c r="M57" s="257">
        <v>0.14791666666666664</v>
      </c>
      <c r="N57" s="257">
        <v>0.14791666666666664</v>
      </c>
      <c r="O57" s="256">
        <f t="shared" si="24"/>
        <v>24.045673069848004</v>
      </c>
      <c r="P57" s="256">
        <f t="shared" si="24"/>
        <v>4.9250173757519997</v>
      </c>
      <c r="Q57" s="257">
        <f t="shared" si="26"/>
        <v>1.4684939172346265E-2</v>
      </c>
      <c r="R57" s="257">
        <f t="shared" si="26"/>
        <v>5.6824668660981669E-3</v>
      </c>
      <c r="S57" s="258">
        <f t="shared" si="27"/>
        <v>1.9549325273185962</v>
      </c>
      <c r="T57" s="259">
        <f t="shared" si="27"/>
        <v>0.37823920077465917</v>
      </c>
      <c r="U57" s="291">
        <f t="shared" si="28"/>
        <v>713.55037247128757</v>
      </c>
      <c r="V57" s="291">
        <f t="shared" si="28"/>
        <v>138.0573082827506</v>
      </c>
      <c r="Z57" s="6"/>
      <c r="AA57" s="6"/>
      <c r="AB57" s="6"/>
      <c r="AC57" s="6"/>
      <c r="AD57" s="6"/>
      <c r="AE57" s="6"/>
      <c r="AF57" s="6"/>
    </row>
    <row r="58" spans="3:32">
      <c r="C58" s="573">
        <v>2021</v>
      </c>
      <c r="D58" s="176">
        <f t="shared" si="29"/>
        <v>4775.8060788203529</v>
      </c>
      <c r="E58" s="176">
        <f t="shared" si="25"/>
        <v>3963.9190454208929</v>
      </c>
      <c r="F58" s="176">
        <f t="shared" si="30"/>
        <v>811.88703339945994</v>
      </c>
      <c r="G58" s="255">
        <f t="shared" si="31"/>
        <v>165.16329355920388</v>
      </c>
      <c r="H58" s="255">
        <f t="shared" si="31"/>
        <v>33.828626391644164</v>
      </c>
      <c r="I58" s="256">
        <f>1800</f>
        <v>1800</v>
      </c>
      <c r="J58" s="256">
        <f>900</f>
        <v>900</v>
      </c>
      <c r="K58" s="256">
        <v>2</v>
      </c>
      <c r="L58" s="256">
        <v>2</v>
      </c>
      <c r="M58" s="257">
        <v>0.14791666666666664</v>
      </c>
      <c r="N58" s="257">
        <v>0.14791666666666664</v>
      </c>
      <c r="O58" s="256">
        <f t="shared" si="24"/>
        <v>24.430403838965571</v>
      </c>
      <c r="P58" s="256">
        <f t="shared" si="24"/>
        <v>5.003817653764032</v>
      </c>
      <c r="Q58" s="257">
        <f t="shared" si="26"/>
        <v>1.4943635497488318E-2</v>
      </c>
      <c r="R58" s="257">
        <f t="shared" si="26"/>
        <v>5.7769372276975477E-3</v>
      </c>
      <c r="S58" s="258">
        <f t="shared" si="27"/>
        <v>1.989371475603132</v>
      </c>
      <c r="T58" s="259">
        <f t="shared" si="27"/>
        <v>0.38452738421861793</v>
      </c>
      <c r="U58" s="291">
        <f t="shared" si="28"/>
        <v>726.1205885951432</v>
      </c>
      <c r="V58" s="291">
        <f t="shared" si="28"/>
        <v>140.35249523979553</v>
      </c>
      <c r="Z58" s="6"/>
      <c r="AA58" s="6"/>
      <c r="AB58" s="6"/>
      <c r="AC58" s="6"/>
      <c r="AD58" s="6"/>
      <c r="AE58" s="6"/>
      <c r="AF58" s="6"/>
    </row>
    <row r="59" spans="3:32">
      <c r="C59" s="573">
        <v>2022</v>
      </c>
      <c r="D59" s="176">
        <f t="shared" si="29"/>
        <v>4852.218976081479</v>
      </c>
      <c r="E59" s="176">
        <f t="shared" si="25"/>
        <v>4027.3417501476279</v>
      </c>
      <c r="F59" s="176">
        <f t="shared" si="30"/>
        <v>824.87722593385126</v>
      </c>
      <c r="G59" s="255">
        <f t="shared" si="31"/>
        <v>167.80590625615116</v>
      </c>
      <c r="H59" s="255">
        <f t="shared" si="31"/>
        <v>34.369884413910469</v>
      </c>
      <c r="I59" s="256">
        <f>1800</f>
        <v>1800</v>
      </c>
      <c r="J59" s="256">
        <f>900</f>
        <v>900</v>
      </c>
      <c r="K59" s="256">
        <v>2</v>
      </c>
      <c r="L59" s="256">
        <v>2</v>
      </c>
      <c r="M59" s="257">
        <v>0.14791666666666664</v>
      </c>
      <c r="N59" s="257">
        <v>0.14791666666666664</v>
      </c>
      <c r="O59" s="256">
        <f t="shared" si="24"/>
        <v>24.821290300389023</v>
      </c>
      <c r="P59" s="256">
        <f t="shared" si="24"/>
        <v>5.0838787362242561</v>
      </c>
      <c r="Q59" s="257">
        <f t="shared" si="26"/>
        <v>1.5207315352707307E-2</v>
      </c>
      <c r="R59" s="257">
        <f t="shared" si="26"/>
        <v>5.8730382003659033E-3</v>
      </c>
      <c r="S59" s="258">
        <f t="shared" si="27"/>
        <v>2.02447385632916</v>
      </c>
      <c r="T59" s="259">
        <f t="shared" si="27"/>
        <v>0.39092410521185539</v>
      </c>
      <c r="U59" s="291">
        <f t="shared" si="28"/>
        <v>738.93295756014345</v>
      </c>
      <c r="V59" s="291">
        <f t="shared" si="28"/>
        <v>142.68729840232723</v>
      </c>
    </row>
    <row r="60" spans="3:32">
      <c r="C60" s="573">
        <v>2023</v>
      </c>
      <c r="D60" s="176">
        <f t="shared" si="29"/>
        <v>4929.8544796987826</v>
      </c>
      <c r="E60" s="176">
        <f t="shared" si="25"/>
        <v>4091.7792181499899</v>
      </c>
      <c r="F60" s="176">
        <f t="shared" si="30"/>
        <v>838.07526154879292</v>
      </c>
      <c r="G60" s="255">
        <f t="shared" si="31"/>
        <v>170.49080075624957</v>
      </c>
      <c r="H60" s="255">
        <f t="shared" si="31"/>
        <v>34.919802564533036</v>
      </c>
      <c r="I60" s="256">
        <f>1800</f>
        <v>1800</v>
      </c>
      <c r="J60" s="256">
        <f>900</f>
        <v>900</v>
      </c>
      <c r="K60" s="256">
        <v>2</v>
      </c>
      <c r="L60" s="256">
        <v>2</v>
      </c>
      <c r="M60" s="257">
        <v>0.14791666666666664</v>
      </c>
      <c r="N60" s="257">
        <v>0.14791666666666664</v>
      </c>
      <c r="O60" s="256">
        <f t="shared" si="24"/>
        <v>25.218430945195244</v>
      </c>
      <c r="P60" s="256">
        <f t="shared" si="24"/>
        <v>5.1652207960038439</v>
      </c>
      <c r="Q60" s="257">
        <f t="shared" si="26"/>
        <v>1.5476089952053681E-2</v>
      </c>
      <c r="R60" s="257">
        <f t="shared" si="26"/>
        <v>5.9707999458502893E-3</v>
      </c>
      <c r="S60" s="258">
        <f t="shared" si="27"/>
        <v>2.0602544748671461</v>
      </c>
      <c r="T60" s="259">
        <f t="shared" si="27"/>
        <v>0.39743137139565982</v>
      </c>
      <c r="U60" s="291">
        <f t="shared" si="28"/>
        <v>751.99288332650826</v>
      </c>
      <c r="V60" s="291">
        <f t="shared" si="28"/>
        <v>145.06245055941582</v>
      </c>
    </row>
    <row r="61" spans="3:32">
      <c r="C61" s="573">
        <v>2024</v>
      </c>
      <c r="D61" s="176">
        <f t="shared" si="29"/>
        <v>5008.7321513739635</v>
      </c>
      <c r="E61" s="176">
        <f t="shared" si="25"/>
        <v>4157.24768564039</v>
      </c>
      <c r="F61" s="176">
        <f t="shared" si="30"/>
        <v>851.48446573357364</v>
      </c>
      <c r="G61" s="255">
        <f t="shared" si="31"/>
        <v>173.21865356834959</v>
      </c>
      <c r="H61" s="255">
        <f t="shared" si="31"/>
        <v>35.478519405565571</v>
      </c>
      <c r="I61" s="256">
        <f>1800</f>
        <v>1800</v>
      </c>
      <c r="J61" s="256">
        <f>900</f>
        <v>900</v>
      </c>
      <c r="K61" s="256">
        <v>2</v>
      </c>
      <c r="L61" s="256">
        <v>2</v>
      </c>
      <c r="M61" s="257">
        <v>0.14791666666666664</v>
      </c>
      <c r="N61" s="257">
        <v>0.14791666666666664</v>
      </c>
      <c r="O61" s="256">
        <f t="shared" si="24"/>
        <v>25.621925840318372</v>
      </c>
      <c r="P61" s="256">
        <f t="shared" si="24"/>
        <v>5.2478643287399063</v>
      </c>
      <c r="Q61" s="257">
        <f t="shared" si="26"/>
        <v>1.5750073540319442E-2</v>
      </c>
      <c r="R61" s="257">
        <f t="shared" si="26"/>
        <v>6.0702532516965788E-3</v>
      </c>
      <c r="S61" s="258">
        <f t="shared" si="27"/>
        <v>2.0967285400550253</v>
      </c>
      <c r="T61" s="259">
        <f t="shared" si="27"/>
        <v>0.40405123206605342</v>
      </c>
      <c r="U61" s="291">
        <f t="shared" si="28"/>
        <v>765.30591712008425</v>
      </c>
      <c r="V61" s="291">
        <f t="shared" si="28"/>
        <v>147.47869970410949</v>
      </c>
    </row>
    <row r="62" spans="3:32">
      <c r="C62" s="263">
        <v>2025</v>
      </c>
      <c r="D62" s="237">
        <f t="shared" si="29"/>
        <v>5088.8718657959471</v>
      </c>
      <c r="E62" s="237">
        <f t="shared" si="25"/>
        <v>4223.7636486106367</v>
      </c>
      <c r="F62" s="237">
        <f t="shared" si="30"/>
        <v>865.10821718531088</v>
      </c>
      <c r="G62" s="255">
        <f t="shared" si="31"/>
        <v>175.99015202544319</v>
      </c>
      <c r="H62" s="255">
        <f t="shared" si="31"/>
        <v>36.04617571605462</v>
      </c>
      <c r="I62" s="256">
        <f>1800</f>
        <v>1800</v>
      </c>
      <c r="J62" s="256">
        <f>900</f>
        <v>900</v>
      </c>
      <c r="K62" s="256">
        <v>2</v>
      </c>
      <c r="L62" s="256">
        <v>2</v>
      </c>
      <c r="M62" s="257">
        <v>0.14791666666666664</v>
      </c>
      <c r="N62" s="257">
        <v>0.14791666666666664</v>
      </c>
      <c r="O62" s="256">
        <f t="shared" si="24"/>
        <v>26.031876653763469</v>
      </c>
      <c r="P62" s="256">
        <f t="shared" si="24"/>
        <v>5.3318301579997449</v>
      </c>
      <c r="Q62" s="257">
        <f t="shared" si="26"/>
        <v>1.6029383495568129E-2</v>
      </c>
      <c r="R62" s="257">
        <f t="shared" si="26"/>
        <v>6.1714295465024717E-3</v>
      </c>
      <c r="S62" s="264">
        <f t="shared" si="27"/>
        <v>2.1339116778475069</v>
      </c>
      <c r="T62" s="265">
        <f t="shared" si="27"/>
        <v>0.41078577918907067</v>
      </c>
      <c r="U62" s="292">
        <f t="shared" si="28"/>
        <v>778.87776241434005</v>
      </c>
      <c r="V62" s="292">
        <f t="shared" si="28"/>
        <v>149.9368094040108</v>
      </c>
    </row>
    <row r="63" spans="3:32">
      <c r="C63" s="573">
        <v>2026</v>
      </c>
      <c r="D63" s="176">
        <f t="shared" si="29"/>
        <v>5170.2938156486825</v>
      </c>
      <c r="E63" s="176">
        <f t="shared" si="25"/>
        <v>4291.3438669884072</v>
      </c>
      <c r="F63" s="176">
        <f t="shared" si="30"/>
        <v>878.94994866027582</v>
      </c>
      <c r="G63" s="255">
        <f t="shared" si="31"/>
        <v>178.80599445785029</v>
      </c>
      <c r="H63" s="255">
        <f t="shared" si="31"/>
        <v>36.62291452751149</v>
      </c>
      <c r="I63" s="256">
        <f>1800</f>
        <v>1800</v>
      </c>
      <c r="J63" s="256">
        <f>900</f>
        <v>900</v>
      </c>
      <c r="K63" s="256">
        <v>2</v>
      </c>
      <c r="L63" s="256">
        <v>2</v>
      </c>
      <c r="M63" s="257">
        <v>0.14791666666666664</v>
      </c>
      <c r="N63" s="257">
        <v>0.14791666666666664</v>
      </c>
      <c r="O63" s="256">
        <f t="shared" si="24"/>
        <v>26.448386680223685</v>
      </c>
      <c r="P63" s="256">
        <f t="shared" si="24"/>
        <v>5.4171394405277402</v>
      </c>
      <c r="Q63" s="257">
        <f t="shared" si="26"/>
        <v>1.6314140435881381E-2</v>
      </c>
      <c r="R63" s="257">
        <f t="shared" si="26"/>
        <v>6.2743609156168155E-3</v>
      </c>
      <c r="S63" s="258">
        <f t="shared" si="27"/>
        <v>2.1718199455267082</v>
      </c>
      <c r="T63" s="259">
        <f t="shared" si="27"/>
        <v>0.41763714844574418</v>
      </c>
      <c r="U63" s="291">
        <f t="shared" si="28"/>
        <v>792.71428011724845</v>
      </c>
      <c r="V63" s="291">
        <f t="shared" si="28"/>
        <v>152.43755918269662</v>
      </c>
    </row>
    <row r="64" spans="3:32">
      <c r="C64" s="573">
        <v>2027</v>
      </c>
      <c r="D64" s="176">
        <f t="shared" si="29"/>
        <v>5253.0185166990614</v>
      </c>
      <c r="E64" s="176">
        <f t="shared" si="25"/>
        <v>4360.0053688602211</v>
      </c>
      <c r="F64" s="176">
        <f t="shared" si="30"/>
        <v>893.01314783884027</v>
      </c>
      <c r="G64" s="255">
        <f t="shared" si="31"/>
        <v>181.66689036917589</v>
      </c>
      <c r="H64" s="255">
        <f t="shared" si="31"/>
        <v>37.20888115995168</v>
      </c>
      <c r="I64" s="256">
        <f>1800</f>
        <v>1800</v>
      </c>
      <c r="J64" s="256">
        <f>900</f>
        <v>900</v>
      </c>
      <c r="K64" s="256">
        <v>2</v>
      </c>
      <c r="L64" s="256">
        <v>2</v>
      </c>
      <c r="M64" s="257">
        <v>0.14791666666666664</v>
      </c>
      <c r="N64" s="257">
        <v>0.14791666666666664</v>
      </c>
      <c r="O64" s="256">
        <f t="shared" si="24"/>
        <v>26.871560867107263</v>
      </c>
      <c r="P64" s="256">
        <f t="shared" si="24"/>
        <v>5.503813671576185</v>
      </c>
      <c r="Q64" s="257">
        <f t="shared" si="26"/>
        <v>1.660446833052636E-2</v>
      </c>
      <c r="R64" s="257">
        <f t="shared" si="26"/>
        <v>6.3790801173007087E-3</v>
      </c>
      <c r="S64" s="258">
        <f t="shared" si="27"/>
        <v>2.2104698465013213</v>
      </c>
      <c r="T64" s="259">
        <f t="shared" si="27"/>
        <v>0.42460752030782833</v>
      </c>
      <c r="U64" s="291">
        <f t="shared" si="28"/>
        <v>806.82149397298224</v>
      </c>
      <c r="V64" s="291">
        <f t="shared" si="28"/>
        <v>154.98174491235733</v>
      </c>
    </row>
    <row r="65" spans="3:22">
      <c r="C65" s="573">
        <v>2028</v>
      </c>
      <c r="D65" s="176">
        <f t="shared" si="29"/>
        <v>5337.0668129662463</v>
      </c>
      <c r="E65" s="176">
        <f t="shared" si="25"/>
        <v>4429.7654547619841</v>
      </c>
      <c r="F65" s="176">
        <f t="shared" si="30"/>
        <v>907.30135820426176</v>
      </c>
      <c r="G65" s="255">
        <f t="shared" si="31"/>
        <v>184.57356061508267</v>
      </c>
      <c r="H65" s="255">
        <f t="shared" si="31"/>
        <v>37.804223258510909</v>
      </c>
      <c r="I65" s="256">
        <f>1800</f>
        <v>1800</v>
      </c>
      <c r="J65" s="256">
        <f>900</f>
        <v>900</v>
      </c>
      <c r="K65" s="256">
        <v>2</v>
      </c>
      <c r="L65" s="256">
        <v>2</v>
      </c>
      <c r="M65" s="257">
        <v>0.14791666666666664</v>
      </c>
      <c r="N65" s="257">
        <v>0.14791666666666664</v>
      </c>
      <c r="O65" s="256">
        <f t="shared" si="24"/>
        <v>27.301505840980973</v>
      </c>
      <c r="P65" s="256">
        <f t="shared" si="24"/>
        <v>5.5918746903214043</v>
      </c>
      <c r="Q65" s="257">
        <f t="shared" si="26"/>
        <v>1.6900494615759893E-2</v>
      </c>
      <c r="R65" s="257">
        <f t="shared" si="26"/>
        <v>6.4856205993665027E-3</v>
      </c>
      <c r="S65" s="258">
        <f t="shared" si="27"/>
        <v>2.2498783457230358</v>
      </c>
      <c r="T65" s="259">
        <f t="shared" si="27"/>
        <v>0.43169912114533276</v>
      </c>
      <c r="U65" s="291">
        <f t="shared" si="28"/>
        <v>821.20559618890809</v>
      </c>
      <c r="V65" s="291">
        <f t="shared" si="28"/>
        <v>157.57017921804646</v>
      </c>
    </row>
    <row r="66" spans="3:22">
      <c r="C66" s="573">
        <v>2029</v>
      </c>
      <c r="D66" s="176">
        <f t="shared" si="29"/>
        <v>5422.4598819737066</v>
      </c>
      <c r="E66" s="176">
        <f t="shared" si="25"/>
        <v>4500.6417020381768</v>
      </c>
      <c r="F66" s="176">
        <f t="shared" si="30"/>
        <v>921.81817993553</v>
      </c>
      <c r="G66" s="255">
        <f t="shared" si="31"/>
        <v>187.52673758492404</v>
      </c>
      <c r="H66" s="255">
        <f t="shared" si="31"/>
        <v>38.409090830647081</v>
      </c>
      <c r="I66" s="256">
        <f>1800</f>
        <v>1800</v>
      </c>
      <c r="J66" s="256">
        <f>900</f>
        <v>900</v>
      </c>
      <c r="K66" s="256">
        <v>2</v>
      </c>
      <c r="L66" s="256">
        <v>2</v>
      </c>
      <c r="M66" s="257">
        <v>0.14791666666666664</v>
      </c>
      <c r="N66" s="257">
        <v>0.14791666666666664</v>
      </c>
      <c r="O66" s="256">
        <f t="shared" si="24"/>
        <v>27.738329934436674</v>
      </c>
      <c r="P66" s="256">
        <f t="shared" si="24"/>
        <v>5.6813446853665468</v>
      </c>
      <c r="Q66" s="257">
        <f t="shared" si="26"/>
        <v>1.7202350315497134E-2</v>
      </c>
      <c r="R66" s="257">
        <f t="shared" si="26"/>
        <v>6.5940165163114912E-3</v>
      </c>
      <c r="S66" s="258">
        <f t="shared" si="27"/>
        <v>2.2900628857505554</v>
      </c>
      <c r="T66" s="259">
        <f t="shared" si="27"/>
        <v>0.43891422436698357</v>
      </c>
      <c r="U66" s="291">
        <f t="shared" si="28"/>
        <v>835.87295329895267</v>
      </c>
      <c r="V66" s="291">
        <f t="shared" si="28"/>
        <v>160.20369189394901</v>
      </c>
    </row>
    <row r="67" spans="3:22">
      <c r="C67" s="573">
        <v>2030</v>
      </c>
      <c r="D67" s="176">
        <f t="shared" si="29"/>
        <v>5509.2192400852864</v>
      </c>
      <c r="E67" s="176">
        <f t="shared" si="25"/>
        <v>4572.651969270788</v>
      </c>
      <c r="F67" s="176">
        <f t="shared" si="30"/>
        <v>936.56727081449844</v>
      </c>
      <c r="G67" s="255">
        <f t="shared" si="31"/>
        <v>190.52716538628283</v>
      </c>
      <c r="H67" s="255">
        <f t="shared" si="31"/>
        <v>39.023636283937435</v>
      </c>
      <c r="I67" s="256">
        <f>1800</f>
        <v>1800</v>
      </c>
      <c r="J67" s="256">
        <f>900</f>
        <v>900</v>
      </c>
      <c r="K67" s="256">
        <v>3</v>
      </c>
      <c r="L67" s="256">
        <v>3</v>
      </c>
      <c r="M67" s="257">
        <v>0.14791666666666664</v>
      </c>
      <c r="N67" s="257">
        <v>0.14791666666666664</v>
      </c>
      <c r="O67" s="256">
        <f t="shared" si="24"/>
        <v>28.182143213387665</v>
      </c>
      <c r="P67" s="256">
        <f t="shared" si="24"/>
        <v>5.7722462003324111</v>
      </c>
      <c r="Q67" s="257">
        <f t="shared" si="26"/>
        <v>1.7510170167085511E-2</v>
      </c>
      <c r="R67" s="257">
        <f t="shared" si="26"/>
        <v>6.7043027469636945E-3</v>
      </c>
      <c r="S67" s="258">
        <f t="shared" si="27"/>
        <v>2.3310414034932583</v>
      </c>
      <c r="T67" s="259">
        <f t="shared" si="27"/>
        <v>0.44625515159477086</v>
      </c>
      <c r="U67" s="291">
        <f t="shared" si="28"/>
        <v>850.83011227503926</v>
      </c>
      <c r="V67" s="291">
        <f t="shared" si="28"/>
        <v>162.88313033209135</v>
      </c>
    </row>
    <row r="68" spans="3:22">
      <c r="C68" s="573">
        <v>2031</v>
      </c>
      <c r="D68" s="176">
        <f t="shared" si="29"/>
        <v>5597.3667479266514</v>
      </c>
      <c r="E68" s="176">
        <f t="shared" si="25"/>
        <v>4645.8144007791207</v>
      </c>
      <c r="F68" s="176">
        <f t="shared" si="30"/>
        <v>951.55234714753044</v>
      </c>
      <c r="G68" s="255">
        <f t="shared" si="31"/>
        <v>193.57560003246337</v>
      </c>
      <c r="H68" s="255">
        <f t="shared" si="31"/>
        <v>39.648014464480433</v>
      </c>
      <c r="I68" s="256">
        <f>1800</f>
        <v>1800</v>
      </c>
      <c r="J68" s="256">
        <f>900</f>
        <v>900</v>
      </c>
      <c r="K68" s="256">
        <v>3</v>
      </c>
      <c r="L68" s="256">
        <v>3</v>
      </c>
      <c r="M68" s="257">
        <v>0.14791666666666664</v>
      </c>
      <c r="N68" s="257">
        <v>0.14791666666666664</v>
      </c>
      <c r="O68" s="256">
        <f t="shared" si="24"/>
        <v>28.633057504801869</v>
      </c>
      <c r="P68" s="256">
        <f t="shared" si="24"/>
        <v>5.8646021395377295</v>
      </c>
      <c r="Q68" s="257">
        <f t="shared" si="26"/>
        <v>1.7824092752438583E-2</v>
      </c>
      <c r="R68" s="257">
        <f t="shared" si="26"/>
        <v>6.8165149126579302E-3</v>
      </c>
      <c r="S68" s="258">
        <f t="shared" si="27"/>
        <v>2.3728323476683859</v>
      </c>
      <c r="T68" s="259">
        <f t="shared" si="27"/>
        <v>0.45372427387379338</v>
      </c>
      <c r="U68" s="291">
        <f t="shared" si="28"/>
        <v>866.0838068989608</v>
      </c>
      <c r="V68" s="291">
        <f t="shared" si="28"/>
        <v>165.60935996393459</v>
      </c>
    </row>
    <row r="69" spans="3:22">
      <c r="C69" s="573">
        <v>2032</v>
      </c>
      <c r="D69" s="176">
        <f t="shared" si="29"/>
        <v>5686.9246158934775</v>
      </c>
      <c r="E69" s="176">
        <f t="shared" si="25"/>
        <v>4720.1474311915863</v>
      </c>
      <c r="F69" s="176">
        <f t="shared" si="30"/>
        <v>966.77718470189097</v>
      </c>
      <c r="G69" s="255">
        <f t="shared" si="31"/>
        <v>196.67280963298276</v>
      </c>
      <c r="H69" s="255">
        <f t="shared" si="31"/>
        <v>40.282382695912126</v>
      </c>
      <c r="I69" s="256">
        <f>1800</f>
        <v>1800</v>
      </c>
      <c r="J69" s="256">
        <f>900</f>
        <v>900</v>
      </c>
      <c r="K69" s="256">
        <v>3</v>
      </c>
      <c r="L69" s="256">
        <v>3</v>
      </c>
      <c r="M69" s="257">
        <v>0.14791666666666664</v>
      </c>
      <c r="N69" s="257">
        <v>0.14791666666666664</v>
      </c>
      <c r="O69" s="256">
        <f t="shared" si="24"/>
        <v>29.091186424878696</v>
      </c>
      <c r="P69" s="256">
        <f t="shared" si="24"/>
        <v>5.9584357737703346</v>
      </c>
      <c r="Q69" s="257">
        <f t="shared" si="26"/>
        <v>1.8144260634798716E-2</v>
      </c>
      <c r="R69" s="257">
        <f t="shared" si="26"/>
        <v>6.9306893959610412E-3</v>
      </c>
      <c r="S69" s="258">
        <f t="shared" si="27"/>
        <v>2.4154546970075783</v>
      </c>
      <c r="T69" s="259">
        <f t="shared" si="27"/>
        <v>0.46132401291865671</v>
      </c>
      <c r="U69" s="291">
        <f t="shared" si="28"/>
        <v>881.64096440776609</v>
      </c>
      <c r="V69" s="291">
        <f t="shared" si="28"/>
        <v>168.38326471530971</v>
      </c>
    </row>
    <row r="70" spans="3:22">
      <c r="C70" s="573">
        <v>2033</v>
      </c>
      <c r="D70" s="176">
        <f t="shared" si="29"/>
        <v>5777.9154097477731</v>
      </c>
      <c r="E70" s="176">
        <f t="shared" si="25"/>
        <v>4795.669790090652</v>
      </c>
      <c r="F70" s="176">
        <f t="shared" si="30"/>
        <v>982.24561965712121</v>
      </c>
      <c r="G70" s="255">
        <f t="shared" si="31"/>
        <v>199.81957458711051</v>
      </c>
      <c r="H70" s="255">
        <f t="shared" si="31"/>
        <v>40.926900819046715</v>
      </c>
      <c r="I70" s="256">
        <f>1800</f>
        <v>1800</v>
      </c>
      <c r="J70" s="256">
        <f>900</f>
        <v>900</v>
      </c>
      <c r="K70" s="256">
        <v>3</v>
      </c>
      <c r="L70" s="256">
        <v>3</v>
      </c>
      <c r="M70" s="257">
        <v>0.14791666666666664</v>
      </c>
      <c r="N70" s="257">
        <v>0.14791666666666664</v>
      </c>
      <c r="O70" s="256">
        <f t="shared" si="24"/>
        <v>29.556645407676758</v>
      </c>
      <c r="P70" s="256">
        <f t="shared" si="24"/>
        <v>6.0537707461506587</v>
      </c>
      <c r="Q70" s="257">
        <f t="shared" si="26"/>
        <v>1.8470820501413365E-2</v>
      </c>
      <c r="R70" s="257">
        <f t="shared" si="26"/>
        <v>7.046863359965955E-3</v>
      </c>
      <c r="S70" s="258">
        <f t="shared" si="27"/>
        <v>2.4589279792506535</v>
      </c>
      <c r="T70" s="259">
        <f t="shared" si="27"/>
        <v>0.46905684239773382</v>
      </c>
      <c r="U70" s="291">
        <f t="shared" si="28"/>
        <v>897.5087124264885</v>
      </c>
      <c r="V70" s="291">
        <f t="shared" si="28"/>
        <v>171.20574747517284</v>
      </c>
    </row>
    <row r="71" spans="3:22">
      <c r="C71" s="573">
        <v>2034</v>
      </c>
      <c r="D71" s="176">
        <f t="shared" si="29"/>
        <v>5870.3620563037375</v>
      </c>
      <c r="E71" s="176">
        <f t="shared" si="25"/>
        <v>4872.4005067321023</v>
      </c>
      <c r="F71" s="176">
        <f t="shared" si="30"/>
        <v>997.96154957163515</v>
      </c>
      <c r="G71" s="255">
        <f t="shared" si="31"/>
        <v>203.01668778050427</v>
      </c>
      <c r="H71" s="255">
        <f t="shared" si="31"/>
        <v>41.581731232151462</v>
      </c>
      <c r="I71" s="256">
        <f>1800</f>
        <v>1800</v>
      </c>
      <c r="J71" s="256">
        <f>900</f>
        <v>900</v>
      </c>
      <c r="K71" s="256">
        <v>3</v>
      </c>
      <c r="L71" s="256">
        <v>3</v>
      </c>
      <c r="M71" s="257">
        <v>0.14791666666666664</v>
      </c>
      <c r="N71" s="257">
        <v>0.14791666666666664</v>
      </c>
      <c r="O71" s="256">
        <f t="shared" si="24"/>
        <v>30.029551734199586</v>
      </c>
      <c r="P71" s="256">
        <f t="shared" si="24"/>
        <v>6.1506310780890692</v>
      </c>
      <c r="Q71" s="257">
        <f t="shared" si="26"/>
        <v>1.8803923312426075E-2</v>
      </c>
      <c r="R71" s="257">
        <f t="shared" si="26"/>
        <v>7.1650747681751073E-3</v>
      </c>
      <c r="S71" s="258">
        <f t="shared" si="27"/>
        <v>2.5032722909667209</v>
      </c>
      <c r="T71" s="259">
        <f t="shared" si="27"/>
        <v>0.47692528925665545</v>
      </c>
      <c r="U71" s="291">
        <f t="shared" si="28"/>
        <v>913.69438620285314</v>
      </c>
      <c r="V71" s="291">
        <f t="shared" si="28"/>
        <v>174.07773057867925</v>
      </c>
    </row>
    <row r="72" spans="3:22">
      <c r="C72" s="573">
        <v>2035</v>
      </c>
      <c r="D72" s="176">
        <f t="shared" si="29"/>
        <v>5964.2878492045975</v>
      </c>
      <c r="E72" s="176">
        <f t="shared" si="25"/>
        <v>4950.358914839816</v>
      </c>
      <c r="F72" s="176">
        <f t="shared" si="30"/>
        <v>1013.9289343647813</v>
      </c>
      <c r="G72" s="255">
        <f t="shared" si="31"/>
        <v>206.26495478499234</v>
      </c>
      <c r="H72" s="255">
        <f t="shared" si="31"/>
        <v>42.247038931865887</v>
      </c>
      <c r="I72" s="256">
        <f>1800</f>
        <v>1800</v>
      </c>
      <c r="J72" s="256">
        <f>900</f>
        <v>900</v>
      </c>
      <c r="K72" s="256">
        <v>3</v>
      </c>
      <c r="L72" s="256">
        <v>3</v>
      </c>
      <c r="M72" s="257">
        <v>0.14791666666666664</v>
      </c>
      <c r="N72" s="257">
        <v>0.14791666666666664</v>
      </c>
      <c r="O72" s="256">
        <f t="shared" si="24"/>
        <v>30.510024561946778</v>
      </c>
      <c r="P72" s="256">
        <f t="shared" si="24"/>
        <v>6.2490411753384949</v>
      </c>
      <c r="Q72" s="257">
        <f t="shared" si="26"/>
        <v>1.9143724456301161E-2</v>
      </c>
      <c r="R72" s="257">
        <f t="shared" si="26"/>
        <v>7.285362404994499E-3</v>
      </c>
      <c r="S72" s="258">
        <f t="shared" si="27"/>
        <v>2.5485083182450916</v>
      </c>
      <c r="T72" s="259">
        <f t="shared" si="27"/>
        <v>0.48493193508244631</v>
      </c>
      <c r="U72" s="291">
        <f t="shared" si="28"/>
        <v>930.20553615945846</v>
      </c>
      <c r="V72" s="291">
        <f t="shared" si="28"/>
        <v>177.0001563050929</v>
      </c>
    </row>
    <row r="73" spans="3:22">
      <c r="C73" s="573">
        <v>2036</v>
      </c>
      <c r="D73" s="176">
        <f t="shared" si="29"/>
        <v>6059.716454791871</v>
      </c>
      <c r="E73" s="176">
        <f t="shared" si="25"/>
        <v>5029.5646574772527</v>
      </c>
      <c r="F73" s="176">
        <f t="shared" si="30"/>
        <v>1030.1517973146179</v>
      </c>
      <c r="G73" s="255">
        <f t="shared" si="31"/>
        <v>209.56519406155221</v>
      </c>
      <c r="H73" s="255">
        <f t="shared" si="31"/>
        <v>42.922991554775741</v>
      </c>
      <c r="I73" s="256">
        <f>1800</f>
        <v>1800</v>
      </c>
      <c r="J73" s="256">
        <f>900</f>
        <v>900</v>
      </c>
      <c r="K73" s="256">
        <v>3</v>
      </c>
      <c r="L73" s="256">
        <v>3</v>
      </c>
      <c r="M73" s="257">
        <v>0.14791666666666664</v>
      </c>
      <c r="N73" s="257">
        <v>0.14791666666666664</v>
      </c>
      <c r="O73" s="256">
        <f t="shared" si="24"/>
        <v>30.998184954937926</v>
      </c>
      <c r="P73" s="256">
        <f t="shared" si="24"/>
        <v>6.3490258341439105</v>
      </c>
      <c r="Q73" s="257">
        <f t="shared" si="26"/>
        <v>1.9490383912119689E-2</v>
      </c>
      <c r="R73" s="257">
        <f t="shared" si="26"/>
        <v>7.4077658968606866E-3</v>
      </c>
      <c r="S73" s="258">
        <f t="shared" si="27"/>
        <v>2.5946573583009336</v>
      </c>
      <c r="T73" s="259">
        <f t="shared" si="27"/>
        <v>0.49307941750978929</v>
      </c>
      <c r="U73" s="291">
        <f t="shared" si="28"/>
        <v>947.04993577984078</v>
      </c>
      <c r="V73" s="291">
        <f t="shared" si="28"/>
        <v>179.97398739107308</v>
      </c>
    </row>
    <row r="74" spans="3:22">
      <c r="C74" s="573">
        <v>2037</v>
      </c>
      <c r="D74" s="176">
        <f t="shared" si="29"/>
        <v>6156.6719180685413</v>
      </c>
      <c r="E74" s="176">
        <f t="shared" si="25"/>
        <v>5110.0376919968894</v>
      </c>
      <c r="F74" s="176">
        <f t="shared" si="30"/>
        <v>1046.6342260716517</v>
      </c>
      <c r="G74" s="255">
        <f t="shared" si="31"/>
        <v>212.91823716653707</v>
      </c>
      <c r="H74" s="255">
        <f t="shared" si="31"/>
        <v>43.609759419652157</v>
      </c>
      <c r="I74" s="256">
        <f>1800</f>
        <v>1800</v>
      </c>
      <c r="J74" s="256">
        <f>900</f>
        <v>900</v>
      </c>
      <c r="K74" s="256">
        <v>3</v>
      </c>
      <c r="L74" s="256">
        <v>3</v>
      </c>
      <c r="M74" s="257">
        <v>0.14791666666666664</v>
      </c>
      <c r="N74" s="257">
        <v>0.14791666666666664</v>
      </c>
      <c r="O74" s="256">
        <f t="shared" si="24"/>
        <v>31.494155914216936</v>
      </c>
      <c r="P74" s="256">
        <f t="shared" si="24"/>
        <v>6.4506102474902134</v>
      </c>
      <c r="Q74" s="257">
        <f t="shared" si="26"/>
        <v>1.9844066419104651E-2</v>
      </c>
      <c r="R74" s="257">
        <f t="shared" si="26"/>
        <v>7.5323257340238307E-3</v>
      </c>
      <c r="S74" s="258">
        <f t="shared" si="27"/>
        <v>2.6417413420433067</v>
      </c>
      <c r="T74" s="259">
        <f t="shared" si="27"/>
        <v>0.50137043167096107</v>
      </c>
      <c r="U74" s="291">
        <f t="shared" si="28"/>
        <v>964.23558984580689</v>
      </c>
      <c r="V74" s="291">
        <f t="shared" si="28"/>
        <v>183.00020755990079</v>
      </c>
    </row>
    <row r="75" spans="3:22">
      <c r="C75" s="573">
        <v>2038</v>
      </c>
      <c r="D75" s="176">
        <f t="shared" si="29"/>
        <v>6255.1786687576378</v>
      </c>
      <c r="E75" s="176">
        <f t="shared" si="25"/>
        <v>5191.7982950688402</v>
      </c>
      <c r="F75" s="176">
        <f t="shared" si="30"/>
        <v>1063.380373688798</v>
      </c>
      <c r="G75" s="255">
        <f t="shared" si="31"/>
        <v>216.32492896120166</v>
      </c>
      <c r="H75" s="255">
        <f t="shared" si="31"/>
        <v>44.307515570366583</v>
      </c>
      <c r="I75" s="256">
        <f>1800</f>
        <v>1800</v>
      </c>
      <c r="J75" s="256">
        <f>900</f>
        <v>900</v>
      </c>
      <c r="K75" s="256">
        <v>3</v>
      </c>
      <c r="L75" s="256">
        <v>3</v>
      </c>
      <c r="M75" s="257">
        <v>0.14791666666666664</v>
      </c>
      <c r="N75" s="257">
        <v>0.14791666666666664</v>
      </c>
      <c r="O75" s="256">
        <f t="shared" si="24"/>
        <v>31.998062408844408</v>
      </c>
      <c r="P75" s="256">
        <f t="shared" si="24"/>
        <v>6.553820011450056</v>
      </c>
      <c r="Q75" s="257">
        <f t="shared" si="26"/>
        <v>2.0204941653754485E-2</v>
      </c>
      <c r="R75" s="257">
        <f t="shared" si="26"/>
        <v>7.6590832930109711E-3</v>
      </c>
      <c r="S75" s="258">
        <f t="shared" si="27"/>
        <v>2.689782857656065</v>
      </c>
      <c r="T75" s="259">
        <f t="shared" si="27"/>
        <v>0.50980773169104265</v>
      </c>
      <c r="U75" s="291">
        <f t="shared" si="28"/>
        <v>981.77074304446376</v>
      </c>
      <c r="V75" s="291">
        <f t="shared" si="28"/>
        <v>186.07982206723057</v>
      </c>
    </row>
    <row r="76" spans="3:22">
      <c r="C76" s="573">
        <v>2039</v>
      </c>
      <c r="D76" s="176">
        <f t="shared" si="29"/>
        <v>6355.2615274577602</v>
      </c>
      <c r="E76" s="176">
        <f t="shared" si="25"/>
        <v>5274.8670677899408</v>
      </c>
      <c r="F76" s="176">
        <f t="shared" si="30"/>
        <v>1080.3944596678189</v>
      </c>
      <c r="G76" s="255">
        <f t="shared" si="31"/>
        <v>219.78612782458086</v>
      </c>
      <c r="H76" s="255">
        <f t="shared" si="31"/>
        <v>45.01643581949245</v>
      </c>
      <c r="I76" s="256">
        <f>1800</f>
        <v>1800</v>
      </c>
      <c r="J76" s="256">
        <f>900</f>
        <v>900</v>
      </c>
      <c r="K76" s="256">
        <v>3</v>
      </c>
      <c r="L76" s="256">
        <v>3</v>
      </c>
      <c r="M76" s="257">
        <v>0.14791666666666664</v>
      </c>
      <c r="N76" s="257">
        <v>0.14791666666666664</v>
      </c>
      <c r="O76" s="256">
        <f t="shared" si="24"/>
        <v>32.51003140738591</v>
      </c>
      <c r="P76" s="256">
        <f t="shared" si="24"/>
        <v>6.6586811316332568</v>
      </c>
      <c r="Q76" s="257">
        <f t="shared" si="26"/>
        <v>2.0573184414987202E-2</v>
      </c>
      <c r="R76" s="257">
        <f t="shared" si="26"/>
        <v>7.7880808597946913E-3</v>
      </c>
      <c r="S76" s="258">
        <f t="shared" si="27"/>
        <v>2.7388051752451705</v>
      </c>
      <c r="T76" s="259">
        <f t="shared" si="27"/>
        <v>0.51839413223008401</v>
      </c>
      <c r="U76" s="291">
        <f t="shared" si="28"/>
        <v>999.66388896448723</v>
      </c>
      <c r="V76" s="291">
        <f t="shared" si="28"/>
        <v>189.21385826398065</v>
      </c>
    </row>
    <row r="77" spans="3:22" ht="13.5" thickBot="1">
      <c r="C77" s="269">
        <v>2040</v>
      </c>
      <c r="D77" s="240">
        <f t="shared" si="29"/>
        <v>6456.945711897084</v>
      </c>
      <c r="E77" s="240">
        <f t="shared" si="25"/>
        <v>5359.2649408745801</v>
      </c>
      <c r="F77" s="240">
        <f t="shared" si="30"/>
        <v>1097.6807710225039</v>
      </c>
      <c r="G77" s="270">
        <f t="shared" si="31"/>
        <v>223.30270586977417</v>
      </c>
      <c r="H77" s="270">
        <f t="shared" si="31"/>
        <v>45.736698792604329</v>
      </c>
      <c r="I77" s="271">
        <f>1800</f>
        <v>1800</v>
      </c>
      <c r="J77" s="271">
        <f>900</f>
        <v>900</v>
      </c>
      <c r="K77" s="271">
        <v>4</v>
      </c>
      <c r="L77" s="271">
        <v>4</v>
      </c>
      <c r="M77" s="272">
        <v>0.14791666666666664</v>
      </c>
      <c r="N77" s="272">
        <v>0.14791666666666664</v>
      </c>
      <c r="O77" s="271">
        <f t="shared" si="24"/>
        <v>33.03019190990409</v>
      </c>
      <c r="P77" s="271">
        <f t="shared" si="24"/>
        <v>6.765220029739389</v>
      </c>
      <c r="Q77" s="272">
        <f t="shared" si="26"/>
        <v>2.0948974817721729E-2</v>
      </c>
      <c r="R77" s="272">
        <f t="shared" si="26"/>
        <v>7.9193616536934065E-3</v>
      </c>
      <c r="S77" s="273">
        <f t="shared" si="27"/>
        <v>2.7888322726092047</v>
      </c>
      <c r="T77" s="274">
        <f t="shared" si="27"/>
        <v>0.52713251007396722</v>
      </c>
      <c r="U77" s="204">
        <f t="shared" si="28"/>
        <v>1017.9237795023597</v>
      </c>
      <c r="V77" s="204">
        <f t="shared" si="28"/>
        <v>192.40336617699805</v>
      </c>
    </row>
    <row r="78" spans="3:22">
      <c r="C78" s="230">
        <v>2041</v>
      </c>
      <c r="D78" s="242">
        <f>D77*(1+$B$5)</f>
        <v>6515.0582233041569</v>
      </c>
      <c r="E78" s="176">
        <f t="shared" si="25"/>
        <v>5407.4983253424507</v>
      </c>
      <c r="F78" s="176">
        <f>F77*(1+$B$5)</f>
        <v>1107.5598979617064</v>
      </c>
      <c r="G78" s="276">
        <f t="shared" si="31"/>
        <v>225.3124302226021</v>
      </c>
      <c r="H78" s="276">
        <f t="shared" si="31"/>
        <v>46.148329081737764</v>
      </c>
      <c r="I78" s="277">
        <f>1800</f>
        <v>1800</v>
      </c>
      <c r="J78" s="277">
        <f>900</f>
        <v>900</v>
      </c>
      <c r="K78" s="277">
        <v>4</v>
      </c>
      <c r="L78" s="277">
        <v>4</v>
      </c>
      <c r="M78" s="278">
        <v>0.14791666666666664</v>
      </c>
      <c r="N78" s="278">
        <v>0.14791666666666664</v>
      </c>
      <c r="O78" s="277">
        <f t="shared" si="24"/>
        <v>33.327463637093224</v>
      </c>
      <c r="P78" s="277">
        <f t="shared" si="24"/>
        <v>6.8261070100070427</v>
      </c>
      <c r="Q78" s="278">
        <f t="shared" si="26"/>
        <v>2.1164492739219682E-2</v>
      </c>
      <c r="R78" s="278">
        <f t="shared" si="26"/>
        <v>7.9944880855781497E-3</v>
      </c>
      <c r="S78" s="279">
        <f t="shared" si="27"/>
        <v>2.8175230959086197</v>
      </c>
      <c r="T78" s="280">
        <f t="shared" si="27"/>
        <v>0.53213311319629553</v>
      </c>
      <c r="U78" s="293">
        <f t="shared" si="28"/>
        <v>1028.3959300066463</v>
      </c>
      <c r="V78" s="293">
        <f t="shared" si="28"/>
        <v>194.22858631664786</v>
      </c>
    </row>
    <row r="79" spans="3:22">
      <c r="C79" s="573">
        <v>2042</v>
      </c>
      <c r="D79" s="176">
        <f t="shared" ref="D79:D92" si="32">D78*(1+$B$5)</f>
        <v>6573.6937473138933</v>
      </c>
      <c r="E79" s="176">
        <f t="shared" si="25"/>
        <v>5456.1658102705314</v>
      </c>
      <c r="F79" s="176">
        <f t="shared" ref="F79:F92" si="33">F78*(1+$B$5)</f>
        <v>1117.5279370433616</v>
      </c>
      <c r="G79" s="255">
        <f t="shared" si="31"/>
        <v>227.34024209460549</v>
      </c>
      <c r="H79" s="255">
        <f t="shared" si="31"/>
        <v>46.563664043473402</v>
      </c>
      <c r="I79" s="256">
        <f>1800</f>
        <v>1800</v>
      </c>
      <c r="J79" s="256">
        <f>900</f>
        <v>900</v>
      </c>
      <c r="K79" s="256">
        <v>4</v>
      </c>
      <c r="L79" s="256">
        <v>4</v>
      </c>
      <c r="M79" s="257">
        <v>0.14791666666666664</v>
      </c>
      <c r="N79" s="257">
        <v>0.14791666666666664</v>
      </c>
      <c r="O79" s="256">
        <f t="shared" si="24"/>
        <v>33.627410809827055</v>
      </c>
      <c r="P79" s="256">
        <f t="shared" si="24"/>
        <v>6.8875419730971066</v>
      </c>
      <c r="Q79" s="257">
        <f t="shared" si="26"/>
        <v>2.1382508607338545E-2</v>
      </c>
      <c r="R79" s="257">
        <f t="shared" si="26"/>
        <v>8.0703641067468596E-3</v>
      </c>
      <c r="S79" s="258">
        <f t="shared" si="27"/>
        <v>2.8465464583519435</v>
      </c>
      <c r="T79" s="259">
        <f t="shared" si="27"/>
        <v>0.53718361085533772</v>
      </c>
      <c r="U79" s="291">
        <f t="shared" si="28"/>
        <v>1038.9894572984595</v>
      </c>
      <c r="V79" s="291">
        <f t="shared" si="28"/>
        <v>196.07201796219826</v>
      </c>
    </row>
    <row r="80" spans="3:22">
      <c r="C80" s="573">
        <v>2043</v>
      </c>
      <c r="D80" s="176">
        <f t="shared" si="32"/>
        <v>6632.8569910397173</v>
      </c>
      <c r="E80" s="176">
        <f t="shared" si="25"/>
        <v>5505.2713025629655</v>
      </c>
      <c r="F80" s="176">
        <f t="shared" si="33"/>
        <v>1127.5856884767518</v>
      </c>
      <c r="G80" s="255">
        <f t="shared" si="31"/>
        <v>229.38630427345689</v>
      </c>
      <c r="H80" s="255">
        <f t="shared" si="31"/>
        <v>46.982737019864658</v>
      </c>
      <c r="I80" s="256">
        <f>1800</f>
        <v>1800</v>
      </c>
      <c r="J80" s="256">
        <f>900</f>
        <v>900</v>
      </c>
      <c r="K80" s="256">
        <v>4</v>
      </c>
      <c r="L80" s="256">
        <v>4</v>
      </c>
      <c r="M80" s="257">
        <v>0.14791666666666664</v>
      </c>
      <c r="N80" s="257">
        <v>0.14791666666666664</v>
      </c>
      <c r="O80" s="256">
        <f t="shared" si="24"/>
        <v>33.930057507115492</v>
      </c>
      <c r="P80" s="256">
        <f t="shared" si="24"/>
        <v>6.9495298508549794</v>
      </c>
      <c r="Q80" s="257">
        <f t="shared" si="26"/>
        <v>2.1603057199510757E-2</v>
      </c>
      <c r="R80" s="257">
        <f t="shared" si="26"/>
        <v>8.1469979008113192E-3</v>
      </c>
      <c r="S80" s="258">
        <f t="shared" si="27"/>
        <v>2.8759069896848688</v>
      </c>
      <c r="T80" s="259">
        <f t="shared" si="27"/>
        <v>0.54228454777275337</v>
      </c>
      <c r="U80" s="291">
        <f t="shared" si="28"/>
        <v>1049.7060512349772</v>
      </c>
      <c r="V80" s="291">
        <f t="shared" si="28"/>
        <v>197.93385993705499</v>
      </c>
    </row>
    <row r="81" spans="3:22">
      <c r="C81" s="573">
        <v>2044</v>
      </c>
      <c r="D81" s="176">
        <f t="shared" si="32"/>
        <v>6692.5527039590743</v>
      </c>
      <c r="E81" s="176">
        <f t="shared" si="25"/>
        <v>5554.8187442860317</v>
      </c>
      <c r="F81" s="176">
        <f t="shared" si="33"/>
        <v>1137.7339596730424</v>
      </c>
      <c r="G81" s="255">
        <f t="shared" si="31"/>
        <v>231.450781011918</v>
      </c>
      <c r="H81" s="255">
        <f t="shared" si="31"/>
        <v>47.405581653043434</v>
      </c>
      <c r="I81" s="256">
        <f>1800</f>
        <v>1800</v>
      </c>
      <c r="J81" s="256">
        <f>900</f>
        <v>900</v>
      </c>
      <c r="K81" s="256">
        <v>4</v>
      </c>
      <c r="L81" s="256">
        <v>4</v>
      </c>
      <c r="M81" s="257">
        <v>0.14791666666666664</v>
      </c>
      <c r="N81" s="257">
        <v>0.14791666666666664</v>
      </c>
      <c r="O81" s="256">
        <f t="shared" si="24"/>
        <v>34.235428024679528</v>
      </c>
      <c r="P81" s="256">
        <f t="shared" si="24"/>
        <v>7.0120756195126734</v>
      </c>
      <c r="Q81" s="257">
        <f t="shared" si="26"/>
        <v>2.1826173900214511E-2</v>
      </c>
      <c r="R81" s="257">
        <f t="shared" si="26"/>
        <v>8.2243977542193637E-3</v>
      </c>
      <c r="S81" s="258">
        <f t="shared" si="27"/>
        <v>2.905609400466056</v>
      </c>
      <c r="T81" s="259">
        <f t="shared" si="27"/>
        <v>0.54743647551522623</v>
      </c>
      <c r="U81" s="291">
        <f t="shared" si="28"/>
        <v>1060.5474311701105</v>
      </c>
      <c r="V81" s="291">
        <f t="shared" si="28"/>
        <v>199.81431356305757</v>
      </c>
    </row>
    <row r="82" spans="3:22">
      <c r="C82" s="263">
        <v>2045</v>
      </c>
      <c r="D82" s="237">
        <f t="shared" si="32"/>
        <v>6752.7856782947056</v>
      </c>
      <c r="E82" s="237">
        <f t="shared" si="25"/>
        <v>5604.8121129846058</v>
      </c>
      <c r="F82" s="237">
        <f t="shared" si="33"/>
        <v>1147.9735653100997</v>
      </c>
      <c r="G82" s="255">
        <f t="shared" si="31"/>
        <v>233.53383804102523</v>
      </c>
      <c r="H82" s="255">
        <f t="shared" si="31"/>
        <v>47.83223188792082</v>
      </c>
      <c r="I82" s="256">
        <f>1800</f>
        <v>1800</v>
      </c>
      <c r="J82" s="256">
        <f>900</f>
        <v>900</v>
      </c>
      <c r="K82" s="256">
        <v>4</v>
      </c>
      <c r="L82" s="256">
        <v>4</v>
      </c>
      <c r="M82" s="257">
        <v>0.14791666666666664</v>
      </c>
      <c r="N82" s="257">
        <v>0.14791666666666664</v>
      </c>
      <c r="O82" s="256">
        <f t="shared" si="24"/>
        <v>34.543546876901644</v>
      </c>
      <c r="P82" s="256">
        <f t="shared" si="24"/>
        <v>7.0751843000882868</v>
      </c>
      <c r="Q82" s="257">
        <f t="shared" si="26"/>
        <v>2.2051894714216196E-2</v>
      </c>
      <c r="R82" s="257">
        <f t="shared" si="26"/>
        <v>8.3025720578036935E-3</v>
      </c>
      <c r="S82" s="264">
        <f t="shared" si="27"/>
        <v>2.9356584838300304</v>
      </c>
      <c r="T82" s="265">
        <f t="shared" si="27"/>
        <v>0.55263995259755827</v>
      </c>
      <c r="U82" s="292">
        <f t="shared" si="28"/>
        <v>1071.5153465979611</v>
      </c>
      <c r="V82" s="292">
        <f t="shared" si="28"/>
        <v>201.71358269810878</v>
      </c>
    </row>
    <row r="83" spans="3:22">
      <c r="C83" s="573">
        <v>2046</v>
      </c>
      <c r="D83" s="176">
        <f t="shared" si="32"/>
        <v>6813.5607493993575</v>
      </c>
      <c r="E83" s="176">
        <f t="shared" si="25"/>
        <v>5655.2554220014672</v>
      </c>
      <c r="F83" s="176">
        <f t="shared" si="33"/>
        <v>1158.3053273978906</v>
      </c>
      <c r="G83" s="255">
        <f t="shared" si="31"/>
        <v>235.63564258339446</v>
      </c>
      <c r="H83" s="255">
        <f t="shared" si="31"/>
        <v>48.262721974912104</v>
      </c>
      <c r="I83" s="256">
        <f>1800</f>
        <v>1800</v>
      </c>
      <c r="J83" s="256">
        <f>900</f>
        <v>900</v>
      </c>
      <c r="K83" s="256">
        <v>4</v>
      </c>
      <c r="L83" s="256">
        <v>4</v>
      </c>
      <c r="M83" s="257">
        <v>0.14791666666666664</v>
      </c>
      <c r="N83" s="257">
        <v>0.14791666666666664</v>
      </c>
      <c r="O83" s="256">
        <f t="shared" si="24"/>
        <v>34.854438798793758</v>
      </c>
      <c r="P83" s="256">
        <f t="shared" si="24"/>
        <v>7.1388609587890812</v>
      </c>
      <c r="Q83" s="257">
        <f t="shared" si="26"/>
        <v>2.2280256280162537E-2</v>
      </c>
      <c r="R83" s="257">
        <f t="shared" si="26"/>
        <v>8.3815293083588701E-3</v>
      </c>
      <c r="S83" s="258">
        <f t="shared" si="27"/>
        <v>2.9660591172966373</v>
      </c>
      <c r="T83" s="259">
        <f t="shared" si="27"/>
        <v>0.55789554458763713</v>
      </c>
      <c r="U83" s="291">
        <f t="shared" si="28"/>
        <v>1082.6115778132726</v>
      </c>
      <c r="V83" s="291">
        <f t="shared" si="28"/>
        <v>203.63187377448756</v>
      </c>
    </row>
    <row r="84" spans="3:22">
      <c r="C84" s="573">
        <v>2047</v>
      </c>
      <c r="D84" s="176">
        <f t="shared" si="32"/>
        <v>6874.8827961439511</v>
      </c>
      <c r="E84" s="176">
        <f t="shared" si="25"/>
        <v>5706.1527207994795</v>
      </c>
      <c r="F84" s="176">
        <f t="shared" si="33"/>
        <v>1168.7300753444715</v>
      </c>
      <c r="G84" s="255">
        <f t="shared" si="31"/>
        <v>237.75636336664499</v>
      </c>
      <c r="H84" s="255">
        <f t="shared" si="31"/>
        <v>48.697086472686316</v>
      </c>
      <c r="I84" s="256">
        <f>1800</f>
        <v>1800</v>
      </c>
      <c r="J84" s="256">
        <f>900</f>
        <v>900</v>
      </c>
      <c r="K84" s="256">
        <v>4</v>
      </c>
      <c r="L84" s="256">
        <v>4</v>
      </c>
      <c r="M84" s="257">
        <v>0.14791666666666664</v>
      </c>
      <c r="N84" s="257">
        <v>0.14791666666666664</v>
      </c>
      <c r="O84" s="256">
        <f t="shared" si="24"/>
        <v>35.168128747982898</v>
      </c>
      <c r="P84" s="256">
        <f t="shared" si="24"/>
        <v>7.2031107074181833</v>
      </c>
      <c r="Q84" s="257">
        <f t="shared" si="26"/>
        <v>2.2511295884533374E-2</v>
      </c>
      <c r="R84" s="257">
        <f t="shared" si="26"/>
        <v>8.4612781102470346E-3</v>
      </c>
      <c r="S84" s="258">
        <f t="shared" si="27"/>
        <v>2.9968162646285053</v>
      </c>
      <c r="T84" s="259">
        <f t="shared" si="27"/>
        <v>0.56320382421331805</v>
      </c>
      <c r="U84" s="291">
        <f t="shared" si="28"/>
        <v>1093.8379365894043</v>
      </c>
      <c r="V84" s="291">
        <f t="shared" si="28"/>
        <v>205.56939583786109</v>
      </c>
    </row>
    <row r="85" spans="3:22">
      <c r="C85" s="573">
        <v>2048</v>
      </c>
      <c r="D85" s="176">
        <f t="shared" si="32"/>
        <v>6936.7567413092456</v>
      </c>
      <c r="E85" s="176">
        <f t="shared" si="25"/>
        <v>5757.5080952866738</v>
      </c>
      <c r="F85" s="176">
        <f t="shared" si="33"/>
        <v>1179.2486460225716</v>
      </c>
      <c r="G85" s="255">
        <f t="shared" si="31"/>
        <v>239.89617063694473</v>
      </c>
      <c r="H85" s="255">
        <f t="shared" si="31"/>
        <v>49.135360250940487</v>
      </c>
      <c r="I85" s="256">
        <f>1800</f>
        <v>1800</v>
      </c>
      <c r="J85" s="256">
        <f>900</f>
        <v>900</v>
      </c>
      <c r="K85" s="256">
        <v>4</v>
      </c>
      <c r="L85" s="256">
        <v>4</v>
      </c>
      <c r="M85" s="257">
        <v>0.14791666666666664</v>
      </c>
      <c r="N85" s="257">
        <v>0.14791666666666664</v>
      </c>
      <c r="O85" s="256">
        <f t="shared" si="24"/>
        <v>35.484641906714735</v>
      </c>
      <c r="P85" s="256">
        <f t="shared" si="24"/>
        <v>7.2679387037849459</v>
      </c>
      <c r="Q85" s="257">
        <f t="shared" si="26"/>
        <v>2.2745051475966237E-2</v>
      </c>
      <c r="R85" s="257">
        <f t="shared" si="26"/>
        <v>8.5418271770330428E-3</v>
      </c>
      <c r="S85" s="258">
        <f t="shared" si="27"/>
        <v>3.0279349777380045</v>
      </c>
      <c r="T85" s="259">
        <f t="shared" si="27"/>
        <v>0.56856537147126185</v>
      </c>
      <c r="U85" s="291">
        <f t="shared" si="28"/>
        <v>1105.1962668743715</v>
      </c>
      <c r="V85" s="291">
        <f t="shared" si="28"/>
        <v>207.52636058701057</v>
      </c>
    </row>
    <row r="86" spans="3:22">
      <c r="C86" s="573">
        <v>2049</v>
      </c>
      <c r="D86" s="176">
        <f t="shared" si="32"/>
        <v>6999.1875519810283</v>
      </c>
      <c r="E86" s="176">
        <f t="shared" si="25"/>
        <v>5809.3256681442535</v>
      </c>
      <c r="F86" s="176">
        <f t="shared" si="33"/>
        <v>1189.8618838367747</v>
      </c>
      <c r="G86" s="255">
        <f t="shared" si="31"/>
        <v>242.05523617267724</v>
      </c>
      <c r="H86" s="255">
        <f t="shared" si="31"/>
        <v>49.577578493198949</v>
      </c>
      <c r="I86" s="256">
        <f>1800</f>
        <v>1800</v>
      </c>
      <c r="J86" s="256">
        <f>900</f>
        <v>900</v>
      </c>
      <c r="K86" s="256">
        <v>4</v>
      </c>
      <c r="L86" s="256">
        <v>4</v>
      </c>
      <c r="M86" s="257">
        <v>0.14791666666666664</v>
      </c>
      <c r="N86" s="257">
        <v>0.14791666666666664</v>
      </c>
      <c r="O86" s="256">
        <f t="shared" si="24"/>
        <v>35.804003683875166</v>
      </c>
      <c r="P86" s="256">
        <f t="shared" si="24"/>
        <v>7.3333501521190101</v>
      </c>
      <c r="Q86" s="257">
        <f t="shared" si="26"/>
        <v>2.2981561679964388E-2</v>
      </c>
      <c r="R86" s="257">
        <f t="shared" si="26"/>
        <v>8.6231853331495967E-3</v>
      </c>
      <c r="S86" s="258">
        <f t="shared" si="27"/>
        <v>3.0594203986452584</v>
      </c>
      <c r="T86" s="259">
        <f t="shared" si="27"/>
        <v>0.5739807737377699</v>
      </c>
      <c r="U86" s="291">
        <f t="shared" si="28"/>
        <v>1116.6884455055192</v>
      </c>
      <c r="V86" s="291">
        <f t="shared" si="28"/>
        <v>209.50298241428601</v>
      </c>
    </row>
    <row r="87" spans="3:22">
      <c r="C87" s="573">
        <v>2050</v>
      </c>
      <c r="D87" s="176">
        <f t="shared" si="32"/>
        <v>7062.180239948857</v>
      </c>
      <c r="E87" s="176">
        <f t="shared" si="25"/>
        <v>5861.6095991575512</v>
      </c>
      <c r="F87" s="176">
        <f t="shared" si="33"/>
        <v>1200.5706407913056</v>
      </c>
      <c r="G87" s="255">
        <f t="shared" si="31"/>
        <v>244.2337332982313</v>
      </c>
      <c r="H87" s="255">
        <f t="shared" si="31"/>
        <v>50.023776699637729</v>
      </c>
      <c r="I87" s="256">
        <f>1800</f>
        <v>1800</v>
      </c>
      <c r="J87" s="256">
        <f>900</f>
        <v>900</v>
      </c>
      <c r="K87" s="256">
        <v>4</v>
      </c>
      <c r="L87" s="256">
        <v>4</v>
      </c>
      <c r="M87" s="257">
        <v>0.14791666666666664</v>
      </c>
      <c r="N87" s="257">
        <v>0.14791666666666664</v>
      </c>
      <c r="O87" s="256">
        <f t="shared" si="24"/>
        <v>36.126239717030039</v>
      </c>
      <c r="P87" s="256">
        <f t="shared" si="24"/>
        <v>7.3993503034880792</v>
      </c>
      <c r="Q87" s="257">
        <f t="shared" si="26"/>
        <v>2.3220865814000343E-2</v>
      </c>
      <c r="R87" s="257">
        <f t="shared" si="26"/>
        <v>8.7053615155930283E-3</v>
      </c>
      <c r="S87" s="258">
        <f t="shared" si="27"/>
        <v>3.091277761488795</v>
      </c>
      <c r="T87" s="259">
        <f t="shared" si="27"/>
        <v>0.57945062588166085</v>
      </c>
      <c r="U87" s="291">
        <f t="shared" si="28"/>
        <v>1128.3163829434102</v>
      </c>
      <c r="V87" s="291">
        <f t="shared" si="28"/>
        <v>211.49947844680622</v>
      </c>
    </row>
    <row r="88" spans="3:22">
      <c r="C88" s="573">
        <v>2051</v>
      </c>
      <c r="D88" s="176">
        <f t="shared" si="32"/>
        <v>7125.7398621083958</v>
      </c>
      <c r="E88" s="176">
        <f t="shared" si="25"/>
        <v>5914.3640855499689</v>
      </c>
      <c r="F88" s="176">
        <f t="shared" si="33"/>
        <v>1211.3757765584271</v>
      </c>
      <c r="G88" s="255">
        <f t="shared" si="31"/>
        <v>246.43183689791536</v>
      </c>
      <c r="H88" s="255">
        <f t="shared" si="31"/>
        <v>50.47399068993446</v>
      </c>
      <c r="I88" s="256">
        <f>1800</f>
        <v>1800</v>
      </c>
      <c r="J88" s="256">
        <f>900</f>
        <v>900</v>
      </c>
      <c r="K88" s="256">
        <v>4</v>
      </c>
      <c r="L88" s="256">
        <v>4</v>
      </c>
      <c r="M88" s="257">
        <v>0.14791666666666664</v>
      </c>
      <c r="N88" s="257">
        <v>0.14791666666666664</v>
      </c>
      <c r="O88" s="256">
        <f t="shared" si="24"/>
        <v>36.451375874483304</v>
      </c>
      <c r="P88" s="256">
        <f t="shared" si="24"/>
        <v>7.4659444562194706</v>
      </c>
      <c r="Q88" s="257">
        <f t="shared" si="26"/>
        <v>2.3463003903027392E-2</v>
      </c>
      <c r="R88" s="257">
        <f t="shared" si="26"/>
        <v>8.7883647756504431E-3</v>
      </c>
      <c r="S88" s="258">
        <f t="shared" si="27"/>
        <v>3.1235123945905205</v>
      </c>
      <c r="T88" s="259">
        <f t="shared" si="27"/>
        <v>0.58497553037923256</v>
      </c>
      <c r="U88" s="291">
        <f t="shared" si="28"/>
        <v>1140.08202402554</v>
      </c>
      <c r="V88" s="291">
        <f t="shared" si="28"/>
        <v>213.51606858841987</v>
      </c>
    </row>
    <row r="89" spans="3:22">
      <c r="C89" s="573">
        <v>2052</v>
      </c>
      <c r="D89" s="176">
        <f t="shared" si="32"/>
        <v>7189.8715208673702</v>
      </c>
      <c r="E89" s="176">
        <f t="shared" si="25"/>
        <v>5967.5933623199171</v>
      </c>
      <c r="F89" s="176">
        <f t="shared" si="33"/>
        <v>1222.2781585474529</v>
      </c>
      <c r="G89" s="255">
        <f t="shared" si="31"/>
        <v>248.64972342999656</v>
      </c>
      <c r="H89" s="255">
        <f t="shared" si="31"/>
        <v>50.928256606143869</v>
      </c>
      <c r="I89" s="256">
        <f>1800</f>
        <v>1800</v>
      </c>
      <c r="J89" s="256">
        <f>900</f>
        <v>900</v>
      </c>
      <c r="K89" s="256">
        <v>4</v>
      </c>
      <c r="L89" s="256">
        <v>4</v>
      </c>
      <c r="M89" s="257">
        <v>0.14791666666666664</v>
      </c>
      <c r="N89" s="257">
        <v>0.14791666666666664</v>
      </c>
      <c r="O89" s="256">
        <f t="shared" si="24"/>
        <v>36.779438257353654</v>
      </c>
      <c r="P89" s="256">
        <f t="shared" si="24"/>
        <v>7.5331379563254455</v>
      </c>
      <c r="Q89" s="257">
        <f t="shared" si="26"/>
        <v>2.3708016695411994E-2</v>
      </c>
      <c r="R89" s="257">
        <f t="shared" si="26"/>
        <v>8.8722042806588537E-3</v>
      </c>
      <c r="S89" s="258">
        <f t="shared" si="27"/>
        <v>3.1561297225767211</v>
      </c>
      <c r="T89" s="259">
        <f t="shared" si="27"/>
        <v>0.59055609743135473</v>
      </c>
      <c r="U89" s="291">
        <f t="shared" si="28"/>
        <v>1151.9873487405032</v>
      </c>
      <c r="V89" s="291">
        <f t="shared" si="28"/>
        <v>215.55297556244449</v>
      </c>
    </row>
    <row r="90" spans="3:22">
      <c r="C90" s="573">
        <v>2053</v>
      </c>
      <c r="D90" s="176">
        <f t="shared" si="32"/>
        <v>7254.5803645551759</v>
      </c>
      <c r="E90" s="176">
        <f t="shared" si="25"/>
        <v>6021.3017025807958</v>
      </c>
      <c r="F90" s="176">
        <f t="shared" si="33"/>
        <v>1233.2786619743799</v>
      </c>
      <c r="G90" s="255">
        <f t="shared" si="31"/>
        <v>250.88757094086648</v>
      </c>
      <c r="H90" s="255">
        <f t="shared" si="31"/>
        <v>51.386610915599164</v>
      </c>
      <c r="I90" s="256">
        <f>1800</f>
        <v>1800</v>
      </c>
      <c r="J90" s="256">
        <f>900</f>
        <v>900</v>
      </c>
      <c r="K90" s="256">
        <v>4</v>
      </c>
      <c r="L90" s="256">
        <v>4</v>
      </c>
      <c r="M90" s="257">
        <v>0.14791666666666664</v>
      </c>
      <c r="N90" s="257">
        <v>0.14791666666666664</v>
      </c>
      <c r="O90" s="256">
        <f t="shared" si="24"/>
        <v>37.110453201669827</v>
      </c>
      <c r="P90" s="256">
        <f t="shared" si="24"/>
        <v>7.6009361979323753</v>
      </c>
      <c r="Q90" s="257">
        <f t="shared" si="26"/>
        <v>2.3955945679300483E-2</v>
      </c>
      <c r="R90" s="257">
        <f t="shared" si="26"/>
        <v>8.9568893157970265E-3</v>
      </c>
      <c r="S90" s="258">
        <f t="shared" si="27"/>
        <v>3.1891352685568766</v>
      </c>
      <c r="T90" s="259">
        <f t="shared" si="27"/>
        <v>0.59619294508273946</v>
      </c>
      <c r="U90" s="291">
        <f t="shared" si="28"/>
        <v>1164.0343730232601</v>
      </c>
      <c r="V90" s="291">
        <f t="shared" si="28"/>
        <v>217.6104249551999</v>
      </c>
    </row>
    <row r="91" spans="3:22">
      <c r="C91" s="573">
        <v>2054</v>
      </c>
      <c r="D91" s="176">
        <f t="shared" si="32"/>
        <v>7319.8715878361718</v>
      </c>
      <c r="E91" s="176">
        <f t="shared" si="25"/>
        <v>6075.4934179040229</v>
      </c>
      <c r="F91" s="176">
        <f t="shared" si="33"/>
        <v>1244.3781699321491</v>
      </c>
      <c r="G91" s="255">
        <f t="shared" si="31"/>
        <v>253.14555907933428</v>
      </c>
      <c r="H91" s="255">
        <f t="shared" si="31"/>
        <v>51.849090413839548</v>
      </c>
      <c r="I91" s="256">
        <f>1800</f>
        <v>1800</v>
      </c>
      <c r="J91" s="256">
        <f>900</f>
        <v>900</v>
      </c>
      <c r="K91" s="256">
        <v>4</v>
      </c>
      <c r="L91" s="256">
        <v>4</v>
      </c>
      <c r="M91" s="257">
        <v>0.14791666666666664</v>
      </c>
      <c r="N91" s="257">
        <v>0.14791666666666664</v>
      </c>
      <c r="O91" s="256">
        <f t="shared" si="24"/>
        <v>37.444447280484859</v>
      </c>
      <c r="P91" s="256">
        <f t="shared" si="24"/>
        <v>7.6693446237137648</v>
      </c>
      <c r="Q91" s="257">
        <f t="shared" si="26"/>
        <v>2.420683309943401E-2</v>
      </c>
      <c r="R91" s="257">
        <f t="shared" si="26"/>
        <v>9.0424292859107823E-3</v>
      </c>
      <c r="S91" s="258">
        <f t="shared" si="27"/>
        <v>3.2225346563621518</v>
      </c>
      <c r="T91" s="259">
        <f t="shared" si="27"/>
        <v>0.6018866993434363</v>
      </c>
      <c r="U91" s="291">
        <f t="shared" si="28"/>
        <v>1176.2251495721855</v>
      </c>
      <c r="V91" s="291">
        <f t="shared" si="28"/>
        <v>219.68864526035426</v>
      </c>
    </row>
    <row r="92" spans="3:22" ht="13.5" thickBot="1">
      <c r="C92" s="282">
        <v>2055</v>
      </c>
      <c r="D92" s="245">
        <f t="shared" si="32"/>
        <v>7385.750432126697</v>
      </c>
      <c r="E92" s="245">
        <f t="shared" si="25"/>
        <v>6130.1728586651589</v>
      </c>
      <c r="F92" s="245">
        <f t="shared" si="33"/>
        <v>1255.5775734615383</v>
      </c>
      <c r="G92" s="270">
        <f t="shared" si="31"/>
        <v>255.42386911104828</v>
      </c>
      <c r="H92" s="270">
        <f t="shared" si="31"/>
        <v>52.315732227564098</v>
      </c>
      <c r="I92" s="271">
        <f>1800</f>
        <v>1800</v>
      </c>
      <c r="J92" s="271">
        <f>900</f>
        <v>900</v>
      </c>
      <c r="K92" s="271">
        <v>4</v>
      </c>
      <c r="L92" s="271">
        <v>4</v>
      </c>
      <c r="M92" s="272">
        <v>0.14791666666666664</v>
      </c>
      <c r="N92" s="272">
        <v>0.14791666666666664</v>
      </c>
      <c r="O92" s="271">
        <f t="shared" si="24"/>
        <v>37.78144730600922</v>
      </c>
      <c r="P92" s="271">
        <f t="shared" si="24"/>
        <v>7.738368725327188</v>
      </c>
      <c r="Q92" s="272">
        <f t="shared" si="26"/>
        <v>2.4460721974425968E-2</v>
      </c>
      <c r="R92" s="272">
        <f t="shared" si="26"/>
        <v>9.128833717372449E-3</v>
      </c>
      <c r="S92" s="283">
        <f t="shared" si="27"/>
        <v>3.2563336128454563</v>
      </c>
      <c r="T92" s="284">
        <f t="shared" si="27"/>
        <v>0.60763799431260346</v>
      </c>
      <c r="U92" s="294">
        <f t="shared" si="28"/>
        <v>1188.5617686885917</v>
      </c>
      <c r="V92" s="294">
        <f t="shared" si="28"/>
        <v>221.78786792410025</v>
      </c>
    </row>
    <row r="93" spans="3:22">
      <c r="U93" s="185"/>
      <c r="V93" s="185"/>
    </row>
    <row r="94" spans="3:22">
      <c r="U94" s="185"/>
      <c r="V94" s="185"/>
    </row>
    <row r="95" spans="3:22">
      <c r="U95" s="185"/>
      <c r="V95" s="185"/>
    </row>
  </sheetData>
  <mergeCells count="34">
    <mergeCell ref="Q52:R52"/>
    <mergeCell ref="S52:T52"/>
    <mergeCell ref="U52:V52"/>
    <mergeCell ref="D52:F52"/>
    <mergeCell ref="G52:H52"/>
    <mergeCell ref="I52:J52"/>
    <mergeCell ref="K52:L52"/>
    <mergeCell ref="M52:N52"/>
    <mergeCell ref="O52:P52"/>
    <mergeCell ref="C51:F51"/>
    <mergeCell ref="G51:T51"/>
    <mergeCell ref="U51:V51"/>
    <mergeCell ref="Q3:R3"/>
    <mergeCell ref="S3:T3"/>
    <mergeCell ref="D3:F3"/>
    <mergeCell ref="G3:H3"/>
    <mergeCell ref="I3:J3"/>
    <mergeCell ref="C2:F2"/>
    <mergeCell ref="G2:R2"/>
    <mergeCell ref="AF3:AG3"/>
    <mergeCell ref="AH3:AI3"/>
    <mergeCell ref="AJ3:AK3"/>
    <mergeCell ref="W3:Y3"/>
    <mergeCell ref="Z3:AA3"/>
    <mergeCell ref="AB3:AC3"/>
    <mergeCell ref="AD3:AE3"/>
    <mergeCell ref="S2:T2"/>
    <mergeCell ref="V2:Y2"/>
    <mergeCell ref="Z2:AK2"/>
    <mergeCell ref="AL2:AM2"/>
    <mergeCell ref="K3:L3"/>
    <mergeCell ref="M3:N3"/>
    <mergeCell ref="O3:P3"/>
    <mergeCell ref="AL3:AM3"/>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73d15151-7781-4590-84fa-12299bfb3e2e">Application Information</Category>
    <URL xmlns="http://schemas.microsoft.com/sharepoint/v3">
      <Url xsi:nil="true"/>
      <Description xsi:nil="true"/>
    </URL>
    <SortOrder xmlns="73d15151-7781-4590-84fa-12299bfb3e2e">10</SortOrder>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D91E4283BBB14188C66EFC61D538B3" ma:contentTypeVersion="7" ma:contentTypeDescription="Create a new document." ma:contentTypeScope="" ma:versionID="ff3aaa1dc1270a9db49d28d51ec1e0df">
  <xsd:schema xmlns:xsd="http://www.w3.org/2001/XMLSchema" xmlns:xs="http://www.w3.org/2001/XMLSchema" xmlns:p="http://schemas.microsoft.com/office/2006/metadata/properties" xmlns:ns1="http://schemas.microsoft.com/sharepoint/v3" xmlns:ns2="16f00c2e-ac5c-418b-9f13-a0771dbd417d" xmlns:ns3="73d15151-7781-4590-84fa-12299bfb3e2e" targetNamespace="http://schemas.microsoft.com/office/2006/metadata/properties" ma:root="true" ma:fieldsID="a04a9499f8bf5f594d2605ab894db385" ns1:_="" ns2:_="" ns3:_="">
    <xsd:import namespace="http://schemas.microsoft.com/sharepoint/v3"/>
    <xsd:import namespace="16f00c2e-ac5c-418b-9f13-a0771dbd417d"/>
    <xsd:import namespace="73d15151-7781-4590-84fa-12299bfb3e2e"/>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element ref="ns3:Category" minOccurs="0"/>
                <xsd:element ref="ns3:Sor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7"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3" nillable="true" ma:displayName="Document ID Value" ma:description="The value of the document ID assigned to this item." ma:internalName="_dlc_DocId" ma:readOnly="true">
      <xsd:simpleType>
        <xsd:restriction base="dms:Text"/>
      </xsd:simpleType>
    </xsd:element>
    <xsd:element name="_dlc_DocIdUrl" ma:index="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3d15151-7781-4590-84fa-12299bfb3e2e" elementFormDefault="qualified">
    <xsd:import namespace="http://schemas.microsoft.com/office/2006/documentManagement/types"/>
    <xsd:import namespace="http://schemas.microsoft.com/office/infopath/2007/PartnerControls"/>
    <xsd:element name="Category" ma:index="9" nillable="true" ma:displayName="Category" ma:format="Dropdown" ma:internalName="Category" ma:readOnly="false">
      <xsd:simpleType>
        <xsd:restriction base="dms:Choice">
          <xsd:enumeration value="Appendices and Supporting Information"/>
          <xsd:enumeration value="Application Information"/>
          <xsd:enumeration value="Business"/>
          <xsd:enumeration value="Crash Data"/>
          <xsd:enumeration value="Letters of Support"/>
          <xsd:enumeration value="NC Government"/>
          <xsd:enumeration value="Operations and Maintenance"/>
          <xsd:enumeration value="Organizations"/>
          <xsd:enumeration value="Technical Studies"/>
          <xsd:enumeration value="White Papers"/>
          <xsd:enumeration value="Benefit-Cost Analysis Narrative"/>
          <xsd:enumeration value="Criterion 1"/>
          <xsd:enumeration value="Criterion 2"/>
          <xsd:enumeration value="Criterion 3"/>
          <xsd:enumeration value="Criterion 4"/>
          <xsd:enumeration value="Criterion 5"/>
          <xsd:enumeration value="Criterion 6"/>
          <xsd:enumeration value="Criterion 7"/>
          <xsd:enumeration value="Criterion 8"/>
          <xsd:enumeration value="Maps"/>
          <xsd:enumeration value="Project Budget"/>
          <xsd:enumeration value="Project Description"/>
        </xsd:restriction>
      </xsd:simpleType>
    </xsd:element>
    <xsd:element name="SortOrder" ma:index="10" nillable="true" ma:displayName="SortOrder" ma:decimals="0" ma:internalName="SortOrd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1D67E39A-5372-4BE4-9135-13E0D274FA56}"/>
</file>

<file path=customXml/itemProps2.xml><?xml version="1.0" encoding="utf-8"?>
<ds:datastoreItem xmlns:ds="http://schemas.openxmlformats.org/officeDocument/2006/customXml" ds:itemID="{6464C03D-2D3C-4C95-9920-15E6D78A2545}"/>
</file>

<file path=customXml/itemProps3.xml><?xml version="1.0" encoding="utf-8"?>
<ds:datastoreItem xmlns:ds="http://schemas.openxmlformats.org/officeDocument/2006/customXml" ds:itemID="{A07E7314-40DC-43EF-8C54-DCAF28B57722}"/>
</file>

<file path=customXml/itemProps4.xml><?xml version="1.0" encoding="utf-8"?>
<ds:datastoreItem xmlns:ds="http://schemas.openxmlformats.org/officeDocument/2006/customXml" ds:itemID="{7A11A6F6-E3CA-4B8A-A391-B7EE1BD5DCCB}"/>
</file>

<file path=docProps/app.xml><?xml version="1.0" encoding="utf-8"?>
<Properties xmlns="http://schemas.openxmlformats.org/officeDocument/2006/extended-properties" xmlns:vt="http://schemas.openxmlformats.org/officeDocument/2006/docPropsVTypes">
  <Application>Microsoft Excel Online</Application>
  <Manager/>
  <Company>Kimley-Horn and Associates,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BCA Calculations</dc:title>
  <dc:subject/>
  <dc:creator>aaron.nathan</dc:creator>
  <cp:keywords/>
  <dc:description/>
  <cp:lastModifiedBy>Douglas, Michael</cp:lastModifiedBy>
  <cp:revision/>
  <dcterms:created xsi:type="dcterms:W3CDTF">2011-10-18T15:31:40Z</dcterms:created>
  <dcterms:modified xsi:type="dcterms:W3CDTF">2025-01-09T16:59:23Z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ContentTypeId">
    <vt:lpwstr>0x010100FCD91E4283BBB14188C66EFC61D538B3</vt:lpwstr>
  </property>
  <property fmtid="{D5CDD505-2E9C-101B-9397-08002B2CF9AE}" pid="4" name="Dam_Crash_Cost" linkTarget="Prop_Dam_Crash_Cost">
    <vt:lpwstr>#REF!</vt:lpwstr>
  </property>
  <property fmtid="{D5CDD505-2E9C-101B-9397-08002B2CF9AE}" pid="5" name="MediaServiceImageTags">
    <vt:lpwstr/>
  </property>
  <property fmtid="{D5CDD505-2E9C-101B-9397-08002B2CF9AE}" pid="6" name="Order">
    <vt:r8>1200</vt:r8>
  </property>
</Properties>
</file>